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<sst xmlns="http://schemas.openxmlformats.org/spreadsheetml/2006/main" count="7807" uniqueCount="1792">
  <si>
    <t>Stock #</t>
  </si>
  <si>
    <t>Availability</t>
  </si>
  <si>
    <t>Shape</t>
  </si>
  <si>
    <t>Weight</t>
  </si>
  <si>
    <t>Color</t>
  </si>
  <si>
    <t>Clarity</t>
  </si>
  <si>
    <t>Cut Grade</t>
  </si>
  <si>
    <t>Polish</t>
  </si>
  <si>
    <t>Symmetry</t>
  </si>
  <si>
    <t>Fluorescence Intensity</t>
  </si>
  <si>
    <t>Fluorescence Color</t>
  </si>
  <si>
    <t>Measurements</t>
  </si>
  <si>
    <t>BGM</t>
  </si>
  <si>
    <t>Eye Clean</t>
  </si>
  <si>
    <t>Lab</t>
  </si>
  <si>
    <t>Report #</t>
  </si>
  <si>
    <t>Treatment</t>
  </si>
  <si>
    <t>Price Per Ct</t>
  </si>
  <si>
    <t>Total Price</t>
  </si>
  <si>
    <t>Discount %</t>
  </si>
  <si>
    <t>Toatal Price After Discount</t>
  </si>
  <si>
    <t>Depth %</t>
  </si>
  <si>
    <t>Table %</t>
  </si>
  <si>
    <t>Girdle Thin</t>
  </si>
  <si>
    <t>Girdle Thick</t>
  </si>
  <si>
    <t>Girdle %</t>
  </si>
  <si>
    <t>Girdle Condition</t>
  </si>
  <si>
    <t>Culet Size</t>
  </si>
  <si>
    <t>Culet Condition</t>
  </si>
  <si>
    <t>Crown Height</t>
  </si>
  <si>
    <t>Crown Angle</t>
  </si>
  <si>
    <t>Pavilion Depth</t>
  </si>
  <si>
    <t>Pavilion Angle</t>
  </si>
  <si>
    <t>Laser Inscription</t>
  </si>
  <si>
    <t>Cert comment</t>
  </si>
  <si>
    <t>Key to symbols</t>
  </si>
  <si>
    <t>Member Comment</t>
  </si>
  <si>
    <t xml:space="preserve">Star Length </t>
  </si>
  <si>
    <t>Shade</t>
  </si>
  <si>
    <t>White Inclusion</t>
  </si>
  <si>
    <t>Black Inclusion</t>
  </si>
  <si>
    <t>Open Inclusion</t>
  </si>
  <si>
    <t>Milky</t>
  </si>
  <si>
    <t>Fancy Color</t>
  </si>
  <si>
    <t>Fancy Color Intensity</t>
  </si>
  <si>
    <t>Fancy Color Overtone</t>
  </si>
  <si>
    <t>Country</t>
  </si>
  <si>
    <t>State</t>
  </si>
  <si>
    <t>City</t>
  </si>
  <si>
    <t>Brand</t>
  </si>
  <si>
    <t>Seller Spec</t>
  </si>
  <si>
    <t>Report Filename</t>
  </si>
  <si>
    <t>Diamond Image</t>
  </si>
  <si>
    <t>Video Link</t>
  </si>
  <si>
    <t>Sarine Loupe</t>
  </si>
  <si>
    <t>Trade Show</t>
  </si>
  <si>
    <t>Report Issue Date</t>
  </si>
  <si>
    <t>Report Type</t>
  </si>
  <si>
    <t>Lab Location</t>
  </si>
  <si>
    <t>Pair Stock #</t>
  </si>
  <si>
    <t>Is Matched Pair Separable</t>
  </si>
  <si>
    <t>Parcel Stones</t>
  </si>
  <si>
    <t>HN-127-03</t>
  </si>
  <si>
    <t>G</t>
  </si>
  <si>
    <t>S-RADIANT</t>
  </si>
  <si>
    <t>F</t>
  </si>
  <si>
    <t>VS2</t>
  </si>
  <si>
    <t>-</t>
  </si>
  <si>
    <t>EX</t>
  </si>
  <si>
    <t>VG</t>
  </si>
  <si>
    <t>NONE</t>
  </si>
  <si>
    <t>7.01 x 6.97 x 4.59</t>
  </si>
  <si>
    <t>IGI</t>
  </si>
  <si>
    <t>INDIA</t>
  </si>
  <si>
    <t>MUMBAI</t>
  </si>
  <si>
    <t>https://www.igi.org/reports/verify-your-report?r=553217214</t>
  </si>
  <si>
    <t>HN-128-03</t>
  </si>
  <si>
    <t>S-EMERALD</t>
  </si>
  <si>
    <t>8.02 x 7.84 x 5.09</t>
  </si>
  <si>
    <t>https://www.igi.org/reports/verify-your-report?r=553259923</t>
  </si>
  <si>
    <t>HN-128-07</t>
  </si>
  <si>
    <t>H</t>
  </si>
  <si>
    <t>7.56 x 7.20 x 4.80</t>
  </si>
  <si>
    <t>https://www.igi.org/reports/verify-your-report?r=553259831</t>
  </si>
  <si>
    <t>HN-97-50</t>
  </si>
  <si>
    <t>6.77 X 6.77 X 4.66</t>
  </si>
  <si>
    <t>https://www.igi.org/reports/verify-your-report?r=550231419</t>
  </si>
  <si>
    <t>HN-97-49</t>
  </si>
  <si>
    <t>6.78 X 6.60 X 4.25</t>
  </si>
  <si>
    <t>https://www.igi.org/reports/verify-your-report?r=550231418</t>
  </si>
  <si>
    <t>HN-148-20</t>
  </si>
  <si>
    <t>VS1</t>
  </si>
  <si>
    <t>5.52 x 5.47 x 3.51</t>
  </si>
  <si>
    <t>SURAT</t>
  </si>
  <si>
    <t>https://www.igi.org/reports/verify-your-report?r=570376195</t>
  </si>
  <si>
    <t>HN-129-16</t>
  </si>
  <si>
    <t>GD</t>
  </si>
  <si>
    <t>5.41 X 5.37 X 3.58</t>
  </si>
  <si>
    <t>https://www.igi.org/reports/verify-your-report?r=560231273</t>
  </si>
  <si>
    <t>HN-97-47</t>
  </si>
  <si>
    <t>5.48 X 5.43 X 3.76</t>
  </si>
  <si>
    <t>https://www.igi.org/reports/verify-your-report?r=550231417</t>
  </si>
  <si>
    <t>HN-87-2</t>
  </si>
  <si>
    <t>S-CUSHION</t>
  </si>
  <si>
    <t>7.72 X 7.61 X 5.09</t>
  </si>
  <si>
    <t>https://www.igi.org/reports/verify-your-report?r=547256648</t>
  </si>
  <si>
    <t>HN-52-6</t>
  </si>
  <si>
    <t>RD</t>
  </si>
  <si>
    <t>9.21 - 9.34 X 5.76</t>
  </si>
  <si>
    <t>https://www.igi.org/reports/verify-your-report?r=520291603</t>
  </si>
  <si>
    <t>HN-142-108</t>
  </si>
  <si>
    <t>9.00 - 9.05 x 5.36</t>
  </si>
  <si>
    <t>https://www.igi.org/reports/verify-your-report?r=570376221</t>
  </si>
  <si>
    <t>https://v360.in/diamondview.aspx?cid=preet&amp;d=HN-142-108</t>
  </si>
  <si>
    <t>HN-142-111</t>
  </si>
  <si>
    <t>8.66 - 8.73 x 5.33</t>
  </si>
  <si>
    <t>https://www.igi.org/reports/verify-your-report?r=570376220</t>
  </si>
  <si>
    <t>https://v360.in/diamondview.aspx?cid=preet&amp;d=HN-142-111</t>
  </si>
  <si>
    <t>HN-129-2</t>
  </si>
  <si>
    <t>E</t>
  </si>
  <si>
    <t>8.71 - 8.78 X 5.25</t>
  </si>
  <si>
    <t>https://www.igi.org/reports/verify-your-report?r=559298590</t>
  </si>
  <si>
    <t>HN-52-41</t>
  </si>
  <si>
    <t>8.42 - 8.47 x 5.31</t>
  </si>
  <si>
    <t>https://www.igi.org/reports/verify-your-report?r=520208297</t>
  </si>
  <si>
    <t>HN-141-86</t>
  </si>
  <si>
    <t>8.41 - 8.44 x 5.32</t>
  </si>
  <si>
    <t>https://www.igi.org/reports/verify-your-report?r=571301019</t>
  </si>
  <si>
    <t>https://v360.in/diamondview.aspx?cid=preet&amp;d=HN-141-86</t>
  </si>
  <si>
    <t>HN-52-30</t>
  </si>
  <si>
    <t>8.34 - 8.39 x 5.00</t>
  </si>
  <si>
    <t>https://www.igi.org/reports/verify-your-report?r=520212206</t>
  </si>
  <si>
    <t>HN-52-27</t>
  </si>
  <si>
    <t>8.22 - 8.26 X 5.13</t>
  </si>
  <si>
    <t>https://www.igi.org/reports/verify-your-report?r=522224997</t>
  </si>
  <si>
    <t>HN-141-84</t>
  </si>
  <si>
    <t>8.35 - 8.39 x 4.96</t>
  </si>
  <si>
    <t>https://www.igi.org/reports/verify-your-report?r=571301018</t>
  </si>
  <si>
    <t>https://v360.in/diamondview.aspx?cid=preet&amp;d=HN-141-84</t>
  </si>
  <si>
    <t>HN-129-5</t>
  </si>
  <si>
    <t>8.23 - 8.27 X 4.96</t>
  </si>
  <si>
    <t>https://www.igi.org/reports/verify-your-report?r=559298588</t>
  </si>
  <si>
    <t>HN-141-81</t>
  </si>
  <si>
    <t>VVS2</t>
  </si>
  <si>
    <t>8.11 - 8.14 x 5.01</t>
  </si>
  <si>
    <t>https://www.igi.org/reports/verify-your-report?r=571301015</t>
  </si>
  <si>
    <t>https://v360.in/diamondview.aspx?cid=preet&amp;d=HN-141-81</t>
  </si>
  <si>
    <t>HN-141-78</t>
  </si>
  <si>
    <t>8.07 - 8.11 x 4.97</t>
  </si>
  <si>
    <t>https://www.igi.org/reports/verify-your-report?r=571301014</t>
  </si>
  <si>
    <t>https://v360.in/diamondview.aspx?cid=preet&amp;d=HN-141-78</t>
  </si>
  <si>
    <t>HN-52-55</t>
  </si>
  <si>
    <t>8.08 - 8.12 x 4.98</t>
  </si>
  <si>
    <t>https://www.igi.org/reports/verify-your-report?r=520212218</t>
  </si>
  <si>
    <t>HN-127-2</t>
  </si>
  <si>
    <t>SI1</t>
  </si>
  <si>
    <t>8.06 - 8.09 x 4.90</t>
  </si>
  <si>
    <t>https://www.igi.org/reports/verify-your-report?r=551214619</t>
  </si>
  <si>
    <t>HN-142-91</t>
  </si>
  <si>
    <t>8.07 - 8.12 x 4.98</t>
  </si>
  <si>
    <t>https://www.igi.org/reports/verify-your-report?r=570376222</t>
  </si>
  <si>
    <t>https://v360.in/diamondview.aspx?cid=preet&amp;d=HN-142-91</t>
  </si>
  <si>
    <t>HN-130-37</t>
  </si>
  <si>
    <t>8.00 - 8.05 X 5.01</t>
  </si>
  <si>
    <t>https://www.igi.org/reports/verify-your-report?r=559298604</t>
  </si>
  <si>
    <t>HN-134-120</t>
  </si>
  <si>
    <t>7.99 - 8.02 x 5.06</t>
  </si>
  <si>
    <t>https://www.igi.org/reports/verify-your-report?r=564365290</t>
  </si>
  <si>
    <t>HN-142-107</t>
  </si>
  <si>
    <t>8.01 - 8.05 x 4.89</t>
  </si>
  <si>
    <t>https://www.igi.org/reports/verify-your-report?r=570376229</t>
  </si>
  <si>
    <t>HN-127-6</t>
  </si>
  <si>
    <t>7.59 - 7.63 x 4.57</t>
  </si>
  <si>
    <t>https://www.igi.org/reports/verify-your-report?r=553219380</t>
  </si>
  <si>
    <t>HN-127-7</t>
  </si>
  <si>
    <t>7.23 - 7.27 x 4.60</t>
  </si>
  <si>
    <t>https://www.igi.org/reports/verify-your-report?r=551214621</t>
  </si>
  <si>
    <t>HN-142-93</t>
  </si>
  <si>
    <t>7.36 - 7.39 x 4.45</t>
  </si>
  <si>
    <t>https://www.igi.org/reports/verify-your-report?r=570376215</t>
  </si>
  <si>
    <t>HN-141-83</t>
  </si>
  <si>
    <t>7.23 - 7.26 x 4.35</t>
  </si>
  <si>
    <t>https://www.igi.org/reports/verify-your-report?r=571301017</t>
  </si>
  <si>
    <t>https://v360.in/diamondview.aspx?cid=preet&amp;d=HN-141-83</t>
  </si>
  <si>
    <t>HN-97-71</t>
  </si>
  <si>
    <t>7.20 - 7.22 X 4.29</t>
  </si>
  <si>
    <t>https://www.igi.org/reports/verify-your-report?r=549294086</t>
  </si>
  <si>
    <t>HN-97-70</t>
  </si>
  <si>
    <t xml:space="preserve">6.98 - 7.00 x 4.40 </t>
  </si>
  <si>
    <t>https://www.igi.org/reports/verify-your-report?r=549294152</t>
  </si>
  <si>
    <t>HN-142-92</t>
  </si>
  <si>
    <t>6.97 - 7.00 x 4.42</t>
  </si>
  <si>
    <t>https://www.igi.org/reports/verify-your-report?r=570376227</t>
  </si>
  <si>
    <t>HN-141-76</t>
  </si>
  <si>
    <t>6.81 - 6.84 x 4.24</t>
  </si>
  <si>
    <t>https://www.igi.org/reports/verify-your-report?r=571301013</t>
  </si>
  <si>
    <t>https://v360.in/diamondview.aspx?cid=preet&amp;d=HN-141-76</t>
  </si>
  <si>
    <t>HN-37-24</t>
  </si>
  <si>
    <t xml:space="preserve">6.77 - 6.81 x 4.26 </t>
  </si>
  <si>
    <t>https://www.igi.org/reports/verify-your-report?r=516243801</t>
  </si>
  <si>
    <t>HN-87-62</t>
  </si>
  <si>
    <t xml:space="preserve">6.80 - 6.84 x 4.15 </t>
  </si>
  <si>
    <t>https://www.igi.org/reports/verify-your-report?r=547233182</t>
  </si>
  <si>
    <t>HN-135-75</t>
  </si>
  <si>
    <t>6.74 - 6.78 x 4.22</t>
  </si>
  <si>
    <t>https://www.igi.org/reports/verify-your-report?r=566393799</t>
  </si>
  <si>
    <t>HN-141-89</t>
  </si>
  <si>
    <t>6.76 - 6.80 x 4.16</t>
  </si>
  <si>
    <t>https://www.igi.org/reports/verify-your-report?r=571301020</t>
  </si>
  <si>
    <t>https://v360.in/diamondview.aspx?cid=preet&amp;d=HN-141-89</t>
  </si>
  <si>
    <t>HN-135-73</t>
  </si>
  <si>
    <t>6.66 - 6.70 x 4.13</t>
  </si>
  <si>
    <t>https://www.igi.org/reports/verify-your-report?r=566393798</t>
  </si>
  <si>
    <t>HN-136-109</t>
  </si>
  <si>
    <t>6.62 - 6.65 x 4.19</t>
  </si>
  <si>
    <t>https://www.igi.org/reports/verify-your-report?r=567356390</t>
  </si>
  <si>
    <t>HN-44-163</t>
  </si>
  <si>
    <t xml:space="preserve">6.61 - 6.64 x 4.20 </t>
  </si>
  <si>
    <t>https://www.igi.org/reports/verify-your-report?r=528205273</t>
  </si>
  <si>
    <t>HN-142-103</t>
  </si>
  <si>
    <t>6.61 - 6.65 x 4.17</t>
  </si>
  <si>
    <t>https://www.igi.org/reports/verify-your-report?r=570376228</t>
  </si>
  <si>
    <t>HN-142-117</t>
  </si>
  <si>
    <t>6.62 - 6.64 x 4.14</t>
  </si>
  <si>
    <t>https://www.igi.org/reports/verify-your-report?r=570376216</t>
  </si>
  <si>
    <t>https://v360.in/diamondview.aspx?cid=preet&amp;d=HN-142-117</t>
  </si>
  <si>
    <t>HN-141-95</t>
  </si>
  <si>
    <t>6.60 - 6.65 x 4.12</t>
  </si>
  <si>
    <t>https://www.igi.org/reports/verify-your-report?r=571301021</t>
  </si>
  <si>
    <t>https://v360.in/diamondview.aspx?cid=preet&amp;d=HN-141-95</t>
  </si>
  <si>
    <t>HN-97-67</t>
  </si>
  <si>
    <t xml:space="preserve">6.55 - 6.58 x 4.12 </t>
  </si>
  <si>
    <t>https://www.igi.org/reports/verify-your-report?r=549294151</t>
  </si>
  <si>
    <t>HN-148-57</t>
  </si>
  <si>
    <t>6.64 - 6.68 x 4.01</t>
  </si>
  <si>
    <t>https://www.igi.org/reports/verify-your-report?r=570376199</t>
  </si>
  <si>
    <t>HN-142-116</t>
  </si>
  <si>
    <t>6.62 - 6.64 x 4.07</t>
  </si>
  <si>
    <t>https://www.igi.org/reports/verify-your-report?r=570376223</t>
  </si>
  <si>
    <t>HN-129-94</t>
  </si>
  <si>
    <t>6.54 - 6.58 X 4.08</t>
  </si>
  <si>
    <t>https://www.igi.org/reports/verify-your-report?r=561278588</t>
  </si>
  <si>
    <t>HN-136-107</t>
  </si>
  <si>
    <t>6.54 - 6.58 X 4.09</t>
  </si>
  <si>
    <t>https://www.igi.org/reports/verify-your-report?r=567356389</t>
  </si>
  <si>
    <t>HN-135-68</t>
  </si>
  <si>
    <t>6.57 - 6.60 x 4.06</t>
  </si>
  <si>
    <t>https://www.igi.org/reports/verify-your-report?r=566393797</t>
  </si>
  <si>
    <t>HN-137-115</t>
  </si>
  <si>
    <t>6.46 - 6.50 x 4.09</t>
  </si>
  <si>
    <t>https://www.igi.org/reports/verify-your-report?r=569328560</t>
  </si>
  <si>
    <t>HN-134-107</t>
  </si>
  <si>
    <t>6.51 - 6.55 x 4.03</t>
  </si>
  <si>
    <t>https://www.igi.org/reports/verify-your-report?r=564365277</t>
  </si>
  <si>
    <t>HN-137-96</t>
  </si>
  <si>
    <t>6.41 - 6.45 x 4.08</t>
  </si>
  <si>
    <t>https://www.igi.org/reports/verify-your-report?r=569328557</t>
  </si>
  <si>
    <t>HN-141-82</t>
  </si>
  <si>
    <t>6.51 - 6.54 x 4.01</t>
  </si>
  <si>
    <t>https://www.igi.org/reports/verify-your-report?r=571301016</t>
  </si>
  <si>
    <t>https://v360.in/diamondview.aspx?cid=preet&amp;d=HN-141-82</t>
  </si>
  <si>
    <t>HN-149-38</t>
  </si>
  <si>
    <t>6.51 - 6.53 x 3.89</t>
  </si>
  <si>
    <t>https://www.igi.org/reports/verify-your-report?r=570370820</t>
  </si>
  <si>
    <t>HN-136-108</t>
  </si>
  <si>
    <t>6.45 - 6.47 x 3.97</t>
  </si>
  <si>
    <t>https://www.igi.org/reports/verify-your-report?r=567356386</t>
  </si>
  <si>
    <t>HN-142-106</t>
  </si>
  <si>
    <t>6.36 - 6.40 x 4.01</t>
  </si>
  <si>
    <t>https://www.igi.org/reports/verify-your-report?r=570376226</t>
  </si>
  <si>
    <t>HN-137-135</t>
  </si>
  <si>
    <t>6.39 - 6.43 x 4.03</t>
  </si>
  <si>
    <t>https://www.igi.org/reports/verify-your-report?r=569328562</t>
  </si>
  <si>
    <t>HN-147-38</t>
  </si>
  <si>
    <t>6.41 - 6.44 x 4.02</t>
  </si>
  <si>
    <t>https://www.igi.org/reports/verify-your-report?r=570370828</t>
  </si>
  <si>
    <t>HN-142-87</t>
  </si>
  <si>
    <t>6.44 - 6.52 x 3.94</t>
  </si>
  <si>
    <t>https://www.igi.org/reports/verify-your-report?r=570376217</t>
  </si>
  <si>
    <t>HN-137-99</t>
  </si>
  <si>
    <t>6.44 - 6.48 x 3.91</t>
  </si>
  <si>
    <t>https://www.igi.org/reports/verify-your-report?r=569328559</t>
  </si>
  <si>
    <t>HN-134-6</t>
  </si>
  <si>
    <t>6.46 - 6.50 x 3.85</t>
  </si>
  <si>
    <t>https://www.igi.org/reports/verify-your-report?r=564365288</t>
  </si>
  <si>
    <t>HN-149-37</t>
  </si>
  <si>
    <t>6.47 - 6.51 x 3.91</t>
  </si>
  <si>
    <t>https://www.igi.org/reports/verify-your-report?r=570370812</t>
  </si>
  <si>
    <t>HN-136-112</t>
  </si>
  <si>
    <t>6.35 - 6.42 x 4.02</t>
  </si>
  <si>
    <t>https://www.igi.org/reports/verify-your-report?r=567356388</t>
  </si>
  <si>
    <t>HN-142-104</t>
  </si>
  <si>
    <t>6.38 - 6.41 x 3.96</t>
  </si>
  <si>
    <t>https://www.igi.org/reports/verify-your-report?r=570376225</t>
  </si>
  <si>
    <t>HN-134-93</t>
  </si>
  <si>
    <t>6.36 - 6.40 x 4.00</t>
  </si>
  <si>
    <t>https://www.igi.org/reports/verify-your-report?r=564365278</t>
  </si>
  <si>
    <t>HN-135-43</t>
  </si>
  <si>
    <t>6.46 - 6.48 x 3.87</t>
  </si>
  <si>
    <t>https://www.igi.org/reports/verify-your-report?r=566393796</t>
  </si>
  <si>
    <t>HN-135-77</t>
  </si>
  <si>
    <t>6.43 - 6.47 x 3.86</t>
  </si>
  <si>
    <t>https://www.igi.org/reports/verify-your-report?r=566393800</t>
  </si>
  <si>
    <t>HN-149-33</t>
  </si>
  <si>
    <t>6.38 - 6.42 x 3.91</t>
  </si>
  <si>
    <t>https://www.igi.org/reports/verify-your-report?r=570370811</t>
  </si>
  <si>
    <t>HN-142-89</t>
  </si>
  <si>
    <t>6.41 - 6.44 x 3.94</t>
  </si>
  <si>
    <t>https://www.igi.org/reports/verify-your-report?r=570376224</t>
  </si>
  <si>
    <t>SM-3-2</t>
  </si>
  <si>
    <t>D</t>
  </si>
  <si>
    <t xml:space="preserve">6.14 - 6.17 x 3.88 </t>
  </si>
  <si>
    <t>https://www.igi.org/reports/verify-your-report?r=529266449</t>
  </si>
  <si>
    <t>HN-44-43</t>
  </si>
  <si>
    <t>SI2</t>
  </si>
  <si>
    <t xml:space="preserve">6.22 - 6.25 x 3.72 </t>
  </si>
  <si>
    <t>https://www.igi.org/reports/verify-your-report?r=528205256</t>
  </si>
  <si>
    <t>HN-97-87</t>
  </si>
  <si>
    <t xml:space="preserve">5.94 - 5.98 x 3.63 </t>
  </si>
  <si>
    <t>https://www.igi.org/reports/verify-your-report?r=550231382</t>
  </si>
  <si>
    <t>HN-80-61</t>
  </si>
  <si>
    <t>RADIANT</t>
  </si>
  <si>
    <t>9.81 x 7.16 x 4.58</t>
  </si>
  <si>
    <t>https://www.igi.org/reports/verify-your-report?r=496107129</t>
  </si>
  <si>
    <t>HN-130-11</t>
  </si>
  <si>
    <t>10.10 X 7.19 X 4.80</t>
  </si>
  <si>
    <t>https://www.igi.org/reports/verify-your-report?r=561259440</t>
  </si>
  <si>
    <t>HN-128-21</t>
  </si>
  <si>
    <t>10.22 x 7.04 x 4.74</t>
  </si>
  <si>
    <t>https://www.igi.org/reports/verify-your-report?r=553259921</t>
  </si>
  <si>
    <t>HN-127-11</t>
  </si>
  <si>
    <t>7.82 x 7.75 x 4.93</t>
  </si>
  <si>
    <t>https://www.igi.org/reports/verify-your-report?r=553259922</t>
  </si>
  <si>
    <t>HN-142-48</t>
  </si>
  <si>
    <t>10.05 x 7.12 x 4.50</t>
  </si>
  <si>
    <t>https://www.igi.org/reports/verify-your-report?r=570376210</t>
  </si>
  <si>
    <t>https://v360.in/diamondview.aspx?cid=preet&amp;d=HN-142-48</t>
  </si>
  <si>
    <t>HN-130-14</t>
  </si>
  <si>
    <t>9.39 X 6.72 X 4.65</t>
  </si>
  <si>
    <t>https://www.igi.org/reports/verify-your-report?r=561278596</t>
  </si>
  <si>
    <t>HN-52-42</t>
  </si>
  <si>
    <t>8.85 x 6.50 x 4.41</t>
  </si>
  <si>
    <t>https://www.igi.org/reports/verify-your-report?r=520212205</t>
  </si>
  <si>
    <t>HN-141-41</t>
  </si>
  <si>
    <t>8.73 x 6.28 x 4.22</t>
  </si>
  <si>
    <t>https://www.igi.org/reports/verify-your-report?r=571301042</t>
  </si>
  <si>
    <t>HN-142-40</t>
  </si>
  <si>
    <t>8.73 x 6.32 x 4.27</t>
  </si>
  <si>
    <t>https://www.igi.org/reports/verify-your-report?r=570376219</t>
  </si>
  <si>
    <t>https://v360.in/diamondview.aspx?cid=preet&amp;d=HN-142-40</t>
  </si>
  <si>
    <t>HN-128-16</t>
  </si>
  <si>
    <t>8.73 x 6.23 x 4.29</t>
  </si>
  <si>
    <t>https://www.igi.org/reports/verify-your-report?r=553259838</t>
  </si>
  <si>
    <t>HN-142-39</t>
  </si>
  <si>
    <t>9.10 x 6.32 x 4.27</t>
  </si>
  <si>
    <t>https://www.igi.org/reports/verify-your-report?r=570376207</t>
  </si>
  <si>
    <t>https://v360.in/diamondview.aspx?cid=preet&amp;d=HN-142-39</t>
  </si>
  <si>
    <t>HN-141-40</t>
  </si>
  <si>
    <t>8.80 x 6.21 x 4.13</t>
  </si>
  <si>
    <t>https://www.igi.org/reports/verify-your-report?r=571301041</t>
  </si>
  <si>
    <t>HN-147-18</t>
  </si>
  <si>
    <t>8.68 x 6.25 x 4.04</t>
  </si>
  <si>
    <t>https://www.igi.org/reports/verify-your-report?r=570370824</t>
  </si>
  <si>
    <t>HN-128-17</t>
  </si>
  <si>
    <t>8.84 x 5.97 x 3.85</t>
  </si>
  <si>
    <t>https://www.igi.org/reports/verify-your-report?r=553259830</t>
  </si>
  <si>
    <t>HN-147-17</t>
  </si>
  <si>
    <t>8.30 x 5.94 x 3.87</t>
  </si>
  <si>
    <t>https://www.igi.org/reports/verify-your-report?r=570370825</t>
  </si>
  <si>
    <t>HN-127-44</t>
  </si>
  <si>
    <t>8.12 X 5.80 X 3.91</t>
  </si>
  <si>
    <t>https://www.igi.org/reports/verify-your-report?r=553217218</t>
  </si>
  <si>
    <t>HN-127-16</t>
  </si>
  <si>
    <t>8.24 x 5.83 x 3.87</t>
  </si>
  <si>
    <t>https://www.igi.org/reports/verify-your-report?r=551214623</t>
  </si>
  <si>
    <t>HN-148-9</t>
  </si>
  <si>
    <t>8.33 x 5.89 x 3.82</t>
  </si>
  <si>
    <t>https://www.igi.org/reports/verify-your-report?r=570376190</t>
  </si>
  <si>
    <t>HN-130-8</t>
  </si>
  <si>
    <t>8.22 X 5.73 X 3.98</t>
  </si>
  <si>
    <t>https://www.igi.org/reports/verify-your-report?r=560231268</t>
  </si>
  <si>
    <t>HN-134-84</t>
  </si>
  <si>
    <t>8.29 X 5.88 X 3.87</t>
  </si>
  <si>
    <t>https://www.igi.org/reports/verify-your-report?r=564365279</t>
  </si>
  <si>
    <t>HN-142-46</t>
  </si>
  <si>
    <t>8.34 x 5.89 x 3.78</t>
  </si>
  <si>
    <t>https://www.igi.org/reports/verify-your-report?r=570376209</t>
  </si>
  <si>
    <t>https://v360.in/diamondview.aspx?cid=preet&amp;d=HN-142-46</t>
  </si>
  <si>
    <t>HN-142-43</t>
  </si>
  <si>
    <t>8.07 x 5.76 x 3.91</t>
  </si>
  <si>
    <t>https://www.igi.org/reports/verify-your-report?r=570376206</t>
  </si>
  <si>
    <t>HN-137-34</t>
  </si>
  <si>
    <t>8.38 x 5.85 x 3.82</t>
  </si>
  <si>
    <t>https://www.igi.org/reports/verify-your-report?r=569328556</t>
  </si>
  <si>
    <t>HN-127-37</t>
  </si>
  <si>
    <t>8.41 X 5.69 X 3.64</t>
  </si>
  <si>
    <t>https://www.igi.org/reports/verify-your-report?r=553217217</t>
  </si>
  <si>
    <t>HN-127-41</t>
  </si>
  <si>
    <t>8.48 x 5.63 x 3.80</t>
  </si>
  <si>
    <t>https://www.igi.org/reports/verify-your-report?r=553219377</t>
  </si>
  <si>
    <t>HN-129-10</t>
  </si>
  <si>
    <t>7.92 X 5.59 X 3.80</t>
  </si>
  <si>
    <t>https://www.igi.org/reports/verify-your-report?r=560231270</t>
  </si>
  <si>
    <t>HN-150-5</t>
  </si>
  <si>
    <t>8.07 x 5.67 x 3.83</t>
  </si>
  <si>
    <t>https://www.igi.org/reports/verify-your-report?r=571307676</t>
  </si>
  <si>
    <t>https://v360.in/diamondview.aspx?cid=preet&amp;d=HN-150-5</t>
  </si>
  <si>
    <t>HN-128-19</t>
  </si>
  <si>
    <t>7.93 x 5.65 x 3.97</t>
  </si>
  <si>
    <t>https://www.igi.org/reports/verify-your-report?r=553219372</t>
  </si>
  <si>
    <t>HN-85-107</t>
  </si>
  <si>
    <t>7.84 X 5.58 X 3.76</t>
  </si>
  <si>
    <t>https://www.igi.org/reports/verify-your-report?r=546216041</t>
  </si>
  <si>
    <t>HN-150-4</t>
  </si>
  <si>
    <t>8.13 x 5.70 x 3.82</t>
  </si>
  <si>
    <t>https://www.igi.org/reports/verify-your-report?r=571307675</t>
  </si>
  <si>
    <t>https://v360.in/diamondview.aspx?cid=preet&amp;d=HN-150-4</t>
  </si>
  <si>
    <t>HN-142-38</t>
  </si>
  <si>
    <t>8.34 x 5.79 x 3.63</t>
  </si>
  <si>
    <t>https://www.igi.org/reports/verify-your-report?r=570376208</t>
  </si>
  <si>
    <t>HN-142-42</t>
  </si>
  <si>
    <t>8.07 x 5.62 x 3.70</t>
  </si>
  <si>
    <t>https://www.igi.org/reports/verify-your-report?r=570376211</t>
  </si>
  <si>
    <t>https://v360.in/diamondview.aspx?cid=preet&amp;d=HN-142-42</t>
  </si>
  <si>
    <t>HN-141-38</t>
  </si>
  <si>
    <t>7.98 x 5.69 x 3.72</t>
  </si>
  <si>
    <t>https://www.igi.org/reports/verify-your-report?r=571301039</t>
  </si>
  <si>
    <t>HN-127-40</t>
  </si>
  <si>
    <t>8.06 x 5.51 x 3.68</t>
  </si>
  <si>
    <t>https://www.igi.org/reports/verify-your-report?r=551214607</t>
  </si>
  <si>
    <t>HN-148-8</t>
  </si>
  <si>
    <t>8.07 x 5.58 x 3.69</t>
  </si>
  <si>
    <t>https://www.igi.org/reports/verify-your-report?r=570376193</t>
  </si>
  <si>
    <t>HN-43-94</t>
  </si>
  <si>
    <t>7.87 x 5.55 x 3.45</t>
  </si>
  <si>
    <t>https://www.igi.org/reports/verify-your-report?r=524211508</t>
  </si>
  <si>
    <t>HN-147-20</t>
  </si>
  <si>
    <t>7.85 x 5.53 x 3.37</t>
  </si>
  <si>
    <t>https://www.igi.org/reports/verify-your-report?r=570370826</t>
  </si>
  <si>
    <t>HN-135-34</t>
  </si>
  <si>
    <t>7.66 x 5.46 x 3.37</t>
  </si>
  <si>
    <t>https://www.igi.org/reports/verify-your-report?r=566393810</t>
  </si>
  <si>
    <t>HN-137-33</t>
  </si>
  <si>
    <t>7.58 x 5.38 x 3.50</t>
  </si>
  <si>
    <t>https://www.igi.org/reports/verify-your-report?r=569328558</t>
  </si>
  <si>
    <t>HN-148-3</t>
  </si>
  <si>
    <t>7.54 x 5.39 x 3.55</t>
  </si>
  <si>
    <t>https://www.igi.org/reports/verify-your-report?r=570376189</t>
  </si>
  <si>
    <t>HN-141-36</t>
  </si>
  <si>
    <t>7.44 x 5.22 x 3.52</t>
  </si>
  <si>
    <t>https://www.igi.org/reports/verify-your-report?r=571301037</t>
  </si>
  <si>
    <t>HN-101-41</t>
  </si>
  <si>
    <t>7.34 X 5.05 X 3.46</t>
  </si>
  <si>
    <t>https://www.igi.org/reports/verify-your-report?r=550231423</t>
  </si>
  <si>
    <t>HN-135-29</t>
  </si>
  <si>
    <t>7.00 x 5.00 x 3.50</t>
  </si>
  <si>
    <t>https://www.igi.org/reports/verify-your-report?r=566393807</t>
  </si>
  <si>
    <t>HN-141-35</t>
  </si>
  <si>
    <t>7.36 x 5.24 x 3.48</t>
  </si>
  <si>
    <t>https://www.igi.org/reports/verify-your-report?r=571301036</t>
  </si>
  <si>
    <t>HN-134-83</t>
  </si>
  <si>
    <t>7.63 x 5.36 x 3.38</t>
  </si>
  <si>
    <t>https://www.igi.org/reports/verify-your-report?r=564365280</t>
  </si>
  <si>
    <t>HN-137-31</t>
  </si>
  <si>
    <t>7.36 x 5.27 x 3.35</t>
  </si>
  <si>
    <t>https://www.igi.org/reports/verify-your-report?r=569328554</t>
  </si>
  <si>
    <t>HN-147-16</t>
  </si>
  <si>
    <t>7.45 x 5.21 x 3.31</t>
  </si>
  <si>
    <t>https://www.igi.org/reports/verify-your-report?r=570370823</t>
  </si>
  <si>
    <t>HN-135-33</t>
  </si>
  <si>
    <t>7.21 x 5.13 x 3.33</t>
  </si>
  <si>
    <t>https://www.igi.org/reports/verify-your-report?r=566393809</t>
  </si>
  <si>
    <t>HN-135-31</t>
  </si>
  <si>
    <t>7.13 x 5.09 x 3.43</t>
  </si>
  <si>
    <t>https://www.igi.org/reports/verify-your-report?r=566393808</t>
  </si>
  <si>
    <t>HN-40-52</t>
  </si>
  <si>
    <t>7.22 x 5.14 x 3.42</t>
  </si>
  <si>
    <t>https://www.igi.org/reports/verify-your-report?r=528205275</t>
  </si>
  <si>
    <t>HN-149-13</t>
  </si>
  <si>
    <t>7.34 x 5.26 x 3.32</t>
  </si>
  <si>
    <t>https://www.igi.org/reports/verify-your-report?r=570370808</t>
  </si>
  <si>
    <t>HN-141-33</t>
  </si>
  <si>
    <t>7.32 x 5.23 x 3.29</t>
  </si>
  <si>
    <t>https://www.igi.org/reports/verify-your-report?r=571301034</t>
  </si>
  <si>
    <t>HN-147-26</t>
  </si>
  <si>
    <t>7.07 x 5.24 x 3.34</t>
  </si>
  <si>
    <t>https://www.igi.org/reports/verify-your-report?r=570370827</t>
  </si>
  <si>
    <t>HN-141-32</t>
  </si>
  <si>
    <t>7.10 x 5.09 x 3.43</t>
  </si>
  <si>
    <t>https://www.igi.org/reports/verify-your-report?r=571301027</t>
  </si>
  <si>
    <t>HN-150-3</t>
  </si>
  <si>
    <t>7.35 x 5.25 x 3.36</t>
  </si>
  <si>
    <t>https://www.igi.org/reports/verify-your-report?r=571307674</t>
  </si>
  <si>
    <t>https://v360.in/diamondview.aspx?cid=preet&amp;d=HN-150-3</t>
  </si>
  <si>
    <t>HN-43-95</t>
  </si>
  <si>
    <t>7.25 x 5.11 x 3.48</t>
  </si>
  <si>
    <t>https://www.igi.org/reports/verify-your-report?r=524211510</t>
  </si>
  <si>
    <t>HN-135-28</t>
  </si>
  <si>
    <t>6.98 x 4.98 x 3.40</t>
  </si>
  <si>
    <t>https://www.igi.org/reports/verify-your-report?r=566393806</t>
  </si>
  <si>
    <t>HN-134-82</t>
  </si>
  <si>
    <t>7.53 x 5.18 x 3.25</t>
  </si>
  <si>
    <t>https://www.igi.org/reports/verify-your-report?r=564365281</t>
  </si>
  <si>
    <t>HN-137-32</t>
  </si>
  <si>
    <t>7.55 x 5.13 x 3.26</t>
  </si>
  <si>
    <t>https://www.igi.org/reports/verify-your-report?r=569328555</t>
  </si>
  <si>
    <t>HN-142-44</t>
  </si>
  <si>
    <t>6.97 x 4.93 x 3.47</t>
  </si>
  <si>
    <t>https://www.igi.org/reports/verify-your-report?r=570376218</t>
  </si>
  <si>
    <t>HN-137-30</t>
  </si>
  <si>
    <t>6.94 x 4.94 x 3.38</t>
  </si>
  <si>
    <t>https://www.igi.org/reports/verify-your-report?r=569328553</t>
  </si>
  <si>
    <t>HN-147-25</t>
  </si>
  <si>
    <t>7.10 x 5.07 x 3.35</t>
  </si>
  <si>
    <t>https://www.igi.org/reports/verify-your-report?r=570370829</t>
  </si>
  <si>
    <t>HN-127-38-A</t>
  </si>
  <si>
    <t>7.32 x 4.93 x 3.36</t>
  </si>
  <si>
    <t>https://www.igi.org/reports/verify-your-report?r=553217221</t>
  </si>
  <si>
    <t>HN-134-81</t>
  </si>
  <si>
    <t>7.04 x 4.87 x 3.34</t>
  </si>
  <si>
    <t>https://www.igi.org/reports/verify-your-report?r=564365282</t>
  </si>
  <si>
    <t>HN-141-34</t>
  </si>
  <si>
    <t>7.05 x 5.01 x 3.45</t>
  </si>
  <si>
    <t>https://www.igi.org/reports/verify-your-report?r=571301035</t>
  </si>
  <si>
    <t>HN-136-51</t>
  </si>
  <si>
    <t>6.93 x 4.95 x 3.27</t>
  </si>
  <si>
    <t>https://www.igi.org/reports/verify-your-report?r=567356385</t>
  </si>
  <si>
    <t>HN-127-36-B</t>
  </si>
  <si>
    <t>6.83 x 5.09 x 3.43</t>
  </si>
  <si>
    <t>https://www.igi.org/reports/verify-your-report?r=553259909</t>
  </si>
  <si>
    <t>HN-136-49</t>
  </si>
  <si>
    <t>6.77 x 5.08 x 3.24</t>
  </si>
  <si>
    <t>https://www.igi.org/reports/verify-your-report?r=567356444</t>
  </si>
  <si>
    <t>HN-101-40</t>
  </si>
  <si>
    <t>7.38 X 5.11 X 3.23</t>
  </si>
  <si>
    <t>https://www.igi.org/reports/verify-your-report?r=550231422</t>
  </si>
  <si>
    <t>HN-142-45</t>
  </si>
  <si>
    <t>7.30 x 5.09 x 3.22</t>
  </si>
  <si>
    <t>https://www.igi.org/reports/verify-your-report?r=570376205</t>
  </si>
  <si>
    <t>HN-136-47</t>
  </si>
  <si>
    <t>7.07 x 4.98 x 3.24</t>
  </si>
  <si>
    <t>https://www.igi.org/reports/verify-your-report?r=567356443</t>
  </si>
  <si>
    <t>HN-142-41</t>
  </si>
  <si>
    <t>6.89 x 4.97 x 3.30</t>
  </si>
  <si>
    <t>https://www.igi.org/reports/verify-your-report?r=570376244</t>
  </si>
  <si>
    <t>HN-134-80</t>
  </si>
  <si>
    <t>7.06 x 5.02 x 3.30</t>
  </si>
  <si>
    <t>https://www.igi.org/reports/verify-your-report?r=564365283</t>
  </si>
  <si>
    <t>HN-128-46</t>
  </si>
  <si>
    <t>6.91 x 4.95 x 3.37</t>
  </si>
  <si>
    <t>https://www.igi.org/reports/verify-your-report?r=553259842</t>
  </si>
  <si>
    <t>HN-147-19</t>
  </si>
  <si>
    <t>7.15 x 5.19 x 3.18</t>
  </si>
  <si>
    <t>https://www.igi.org/reports/verify-your-report?r=570370831</t>
  </si>
  <si>
    <t>HN-148-4</t>
  </si>
  <si>
    <t>7.25 x 5.06 x 3.23</t>
  </si>
  <si>
    <t>https://www.igi.org/reports/verify-your-report?r=570376188</t>
  </si>
  <si>
    <t>HN-102-58</t>
  </si>
  <si>
    <t>I</t>
  </si>
  <si>
    <t>6.50 X 4.94 X 3.39</t>
  </si>
  <si>
    <t>https://www.igi.org/reports/verify-your-report?r=497182210</t>
  </si>
  <si>
    <t>HN-100-59</t>
  </si>
  <si>
    <t>6.71 x 5.05 x 3.34</t>
  </si>
  <si>
    <t>https://www.igi.org/reports/verify-your-report?r=550231425</t>
  </si>
  <si>
    <t>HN-134-79</t>
  </si>
  <si>
    <t>7.21 x 5.09 x 3.35</t>
  </si>
  <si>
    <t>https://www.igi.org/reports/verify-your-report?r=564365284</t>
  </si>
  <si>
    <t>HN-149-12</t>
  </si>
  <si>
    <t>7.28 x 5.10 x 3.24</t>
  </si>
  <si>
    <t>https://www.igi.org/reports/verify-your-report?r=570370821</t>
  </si>
  <si>
    <t>HN-148-10</t>
  </si>
  <si>
    <t>6.86 x 4.88 x 3.38</t>
  </si>
  <si>
    <t>https://www.igi.org/reports/verify-your-report?r=570376191</t>
  </si>
  <si>
    <t>HN-148-5</t>
  </si>
  <si>
    <t>7.18 x 4.96 x 3.36</t>
  </si>
  <si>
    <t>https://www.igi.org/reports/verify-your-report?r=570376192</t>
  </si>
  <si>
    <t>HN-137-35</t>
  </si>
  <si>
    <t>5.49 x 5.38 x 3.64</t>
  </si>
  <si>
    <t>https://www.igi.org/reports/verify-your-report?r=569328561</t>
  </si>
  <si>
    <t>HN-44-18</t>
  </si>
  <si>
    <t>7.00 X 4.97 X 3.28</t>
  </si>
  <si>
    <t>https://www.igi.org/reports/verify-your-report?r=528205267</t>
  </si>
  <si>
    <t>HN-135-26</t>
  </si>
  <si>
    <t>6.76 x 4.89 x 3.32</t>
  </si>
  <si>
    <t>https://www.igi.org/reports/verify-your-report?r=566393805</t>
  </si>
  <si>
    <t>HN-137-29</t>
  </si>
  <si>
    <t>6.92 x 4.92 x 3.25</t>
  </si>
  <si>
    <t>https://www.igi.org/reports/verify-your-report?r=569328552</t>
  </si>
  <si>
    <t>HN-136-50</t>
  </si>
  <si>
    <t>6.99 x 4.99 x 3.21</t>
  </si>
  <si>
    <t>https://www.igi.org/reports/verify-your-report?r=567356392</t>
  </si>
  <si>
    <t>HN-147-23</t>
  </si>
  <si>
    <t>6.84 x 4.95 x 3.39</t>
  </si>
  <si>
    <t>https://www.igi.org/reports/verify-your-report?r=570370830</t>
  </si>
  <si>
    <t>HN-44-17</t>
  </si>
  <si>
    <t>6.65 X 4.74 X 3.34</t>
  </si>
  <si>
    <t>https://www.igi.org/reports/verify-your-report?r=529266445</t>
  </si>
  <si>
    <t>HN-129-49</t>
  </si>
  <si>
    <t>6.81 X 4.65 X 3.25</t>
  </si>
  <si>
    <t>https://www.igi.org/reports/verify-your-report?r=561278550</t>
  </si>
  <si>
    <t>HN-87-39</t>
  </si>
  <si>
    <t>6.51 x 4.65 x 3.14</t>
  </si>
  <si>
    <t>https://www.igi.org/reports/verify-your-report?r=547266574</t>
  </si>
  <si>
    <t>HN-110-46</t>
  </si>
  <si>
    <t>6.40 x 4.73 x 3.28</t>
  </si>
  <si>
    <t>https://www.igi.org/reports/verify-your-report?r=547266575</t>
  </si>
  <si>
    <t>HN-43-59</t>
  </si>
  <si>
    <t>6.36 X 4.94 X 2.91</t>
  </si>
  <si>
    <t>https://www.igi.org/reports/verify-your-report?r=523298129</t>
  </si>
  <si>
    <t>HN-101-45</t>
  </si>
  <si>
    <t>6.75 x 4.69 x 2.98</t>
  </si>
  <si>
    <t>https://www.igi.org/reports/verify-your-report?r=550231339</t>
  </si>
  <si>
    <t>HN-130-24</t>
  </si>
  <si>
    <t>PRINCESS</t>
  </si>
  <si>
    <t>8.03 X 8.01 X 5.39</t>
  </si>
  <si>
    <t>https://www.igi.org/reports/verify-your-report?r=560231337</t>
  </si>
  <si>
    <t>HN-52-9</t>
  </si>
  <si>
    <t>7.90 X 7.89 X 5.57</t>
  </si>
  <si>
    <t>https://www.igi.org/reports/verify-your-report?r=520291602</t>
  </si>
  <si>
    <t>HN-52-7</t>
  </si>
  <si>
    <t>7.80 X 7.69 X 5.61</t>
  </si>
  <si>
    <t>https://www.igi.org/reports/verify-your-report?r=520208329</t>
  </si>
  <si>
    <t>HN-142-33</t>
  </si>
  <si>
    <t>7.84 x 7.76 x 5.10</t>
  </si>
  <si>
    <t>https://www.igi.org/reports/verify-your-report?r=570376236</t>
  </si>
  <si>
    <t>HN-128-20</t>
  </si>
  <si>
    <t>7.68 x 7.46 x 5.26</t>
  </si>
  <si>
    <t>https://www.igi.org/reports/verify-your-report?r=553217186</t>
  </si>
  <si>
    <t>HN-129-21</t>
  </si>
  <si>
    <t>7.74 X 7.67 X 5.05</t>
  </si>
  <si>
    <t>https://www.igi.org/reports/verify-your-report?r=561259403</t>
  </si>
  <si>
    <t>HN-127-4</t>
  </si>
  <si>
    <t>7.63 X 7.62 X 4.88</t>
  </si>
  <si>
    <t>https://www.igi.org/reports/verify-your-report?r=553217219</t>
  </si>
  <si>
    <t>HN-130-33</t>
  </si>
  <si>
    <t>7.31 X 7.23 X 5.14</t>
  </si>
  <si>
    <t>https://www.igi.org/reports/verify-your-report?r=560231282</t>
  </si>
  <si>
    <t>HN-127-30</t>
  </si>
  <si>
    <t>7.38 x 7.24 x 4.73</t>
  </si>
  <si>
    <t>https://www.igi.org/reports/verify-your-report?r=553259912</t>
  </si>
  <si>
    <t>HN-142-32</t>
  </si>
  <si>
    <t>7.25 x 7.09 x 4.90</t>
  </si>
  <si>
    <t>https://www.igi.org/reports/verify-your-report?r=570376238</t>
  </si>
  <si>
    <t>HN-127-5</t>
  </si>
  <si>
    <t>7.33 x 6.92 x 4.77</t>
  </si>
  <si>
    <t>https://www.igi.org/reports/verify-your-report?r=551214620</t>
  </si>
  <si>
    <t>HN-129-27</t>
  </si>
  <si>
    <t>7.24 X 6.91 X 4.83</t>
  </si>
  <si>
    <t>https://www.igi.org/reports/verify-your-report?r=559298573</t>
  </si>
  <si>
    <t>HN-52-24</t>
  </si>
  <si>
    <t>7.25 X 7.21 X 4.76</t>
  </si>
  <si>
    <t>https://www.igi.org/reports/verify-your-report?r=522253995</t>
  </si>
  <si>
    <t>HN-141-26</t>
  </si>
  <si>
    <t>7.01 x 6.92 x 4.99</t>
  </si>
  <si>
    <t>https://www.igi.org/reports/verify-your-report?r=571301024</t>
  </si>
  <si>
    <t>HN-130-28</t>
  </si>
  <si>
    <t>7.18 X 6.99 X 4.59</t>
  </si>
  <si>
    <t>https://www.igi.org/reports/verify-your-report?r=560231278</t>
  </si>
  <si>
    <t>HN-127-17</t>
  </si>
  <si>
    <t>6.99 x 6.71 x 4.85</t>
  </si>
  <si>
    <t>https://www.igi.org/reports/verify-your-report?r=553259910</t>
  </si>
  <si>
    <t>HN-130-30</t>
  </si>
  <si>
    <t>7.19 X 6.85 X 4.73</t>
  </si>
  <si>
    <t>https://www.igi.org/reports/verify-your-report?r=560231280</t>
  </si>
  <si>
    <t>HN-130-16</t>
  </si>
  <si>
    <t>6.91 X 6.91 X 4.54</t>
  </si>
  <si>
    <t>https://www.igi.org/reports/verify-your-report?r=560231272</t>
  </si>
  <si>
    <t>HN-130-25</t>
  </si>
  <si>
    <t>6.72 X 6.50 X 4.70</t>
  </si>
  <si>
    <t>https://www.igi.org/reports/verify-your-report?r=561259409</t>
  </si>
  <si>
    <t>HN-57-21</t>
  </si>
  <si>
    <t>VVS1</t>
  </si>
  <si>
    <t>6.27 X 6.25 X 4.83</t>
  </si>
  <si>
    <t>https://www.igi.org/reports/verify-your-report?r=524211503</t>
  </si>
  <si>
    <t>HN-128-06</t>
  </si>
  <si>
    <t>6.62 x 6.41 x 4.56</t>
  </si>
  <si>
    <t>https://www.igi.org/reports/verify-your-report?r=553259835</t>
  </si>
  <si>
    <t>HN-127-46</t>
  </si>
  <si>
    <t>6.56 X 6.39 X 4.32</t>
  </si>
  <si>
    <t>https://www.igi.org/reports/verify-your-report?r=553217225</t>
  </si>
  <si>
    <t>HN-129-42</t>
  </si>
  <si>
    <t>6.54 X 6.34 X 4.22</t>
  </si>
  <si>
    <t>https://www.igi.org/reports/verify-your-report?r=559298601</t>
  </si>
  <si>
    <t>HN-127-45</t>
  </si>
  <si>
    <t>6.43 x 6.24 x 4.30</t>
  </si>
  <si>
    <t>https://www.igi.org/reports/verify-your-report?r=551214608</t>
  </si>
  <si>
    <t>HN-127-19</t>
  </si>
  <si>
    <t>6.47 x 6.35 x 4.26</t>
  </si>
  <si>
    <t>https://www.igi.org/reports/verify-your-report?r=553219375</t>
  </si>
  <si>
    <t>HN-127-48</t>
  </si>
  <si>
    <t>6.36 x 6.36 x 4.39</t>
  </si>
  <si>
    <t>https://www.igi.org/reports/verify-your-report?r=553259905</t>
  </si>
  <si>
    <t>HN-128-30</t>
  </si>
  <si>
    <t>6.34 x 6.13 x 4.41</t>
  </si>
  <si>
    <t>https://www.igi.org/reports/verify-your-report?r=553217184</t>
  </si>
  <si>
    <t>HN-130-5</t>
  </si>
  <si>
    <t>6.40 X 6.25 X 4.37</t>
  </si>
  <si>
    <t>https://www.igi.org/reports/verify-your-report?r=561259408</t>
  </si>
  <si>
    <t>HN-142-37</t>
  </si>
  <si>
    <t>6.41 x 6.28 x 4.37</t>
  </si>
  <si>
    <t>https://www.igi.org/reports/verify-your-report?r=570376237</t>
  </si>
  <si>
    <t>HN-127-13</t>
  </si>
  <si>
    <t>6.32 x 6.29 x 4.23</t>
  </si>
  <si>
    <t>https://www.igi.org/reports/verify-your-report?r=553217213</t>
  </si>
  <si>
    <t>HN-129-8</t>
  </si>
  <si>
    <t>6.35 X 6.16 X 4.16</t>
  </si>
  <si>
    <t>https://www.igi.org/reports/verify-your-report?r=559298586</t>
  </si>
  <si>
    <t>HN-129-93</t>
  </si>
  <si>
    <t>6.56 X 6.30 X 4.30</t>
  </si>
  <si>
    <t>https://www.igi.org/reports/verify-your-report?r=561278587</t>
  </si>
  <si>
    <t>HN-128-40</t>
  </si>
  <si>
    <t>6.15 x 6.10 x 4.43</t>
  </si>
  <si>
    <t>https://www.igi.org/reports/verify-your-report?r=553259903</t>
  </si>
  <si>
    <t>HN-130-22</t>
  </si>
  <si>
    <t>.</t>
  </si>
  <si>
    <t>https://www.igi.org/reports/verify-your-report?r=561259407</t>
  </si>
  <si>
    <t>HN-130-6</t>
  </si>
  <si>
    <t>6.15 X 6.02 X 4.20</t>
  </si>
  <si>
    <t>https://www.igi.org/reports/verify-your-report?r=561278599</t>
  </si>
  <si>
    <t>HN-127-25</t>
  </si>
  <si>
    <t>5.88 x 5.77 x 4.18</t>
  </si>
  <si>
    <t>https://www.igi.org/reports/verify-your-report?r=553259906</t>
  </si>
  <si>
    <t>HN-127-38</t>
  </si>
  <si>
    <t>5.89 x 5.76 x 4.07</t>
  </si>
  <si>
    <t>https://www.igi.org/reports/verify-your-report?r=553217216</t>
  </si>
  <si>
    <t>HN-130-40</t>
  </si>
  <si>
    <t>5.84 X 5.69 X 4.18</t>
  </si>
  <si>
    <t>https://www.igi.org/reports/verify-your-report?r=560231300</t>
  </si>
  <si>
    <t>HN-128-33</t>
  </si>
  <si>
    <t>5.66 x 5.66 x 4.19</t>
  </si>
  <si>
    <t>https://www.igi.org/reports/verify-your-report?r=551214585</t>
  </si>
  <si>
    <t>HN-148-31</t>
  </si>
  <si>
    <t>5.96 x 5.92 x 4.03</t>
  </si>
  <si>
    <t>https://www.igi.org/reports/verify-your-report?r=570376200</t>
  </si>
  <si>
    <t>HN-130-13</t>
  </si>
  <si>
    <t>5.73 X 5.73 X 4.13</t>
  </si>
  <si>
    <t>https://www.igi.org/reports/verify-your-report?r=561278581</t>
  </si>
  <si>
    <t>HN-129-43</t>
  </si>
  <si>
    <t>5.75 X 5.67 X 4.01</t>
  </si>
  <si>
    <t>https://www.igi.org/reports/verify-your-report?r=559298600</t>
  </si>
  <si>
    <t>HN-128-43</t>
  </si>
  <si>
    <t>5.80 x 5.66 x 4.12</t>
  </si>
  <si>
    <t>https://www.igi.org/reports/verify-your-report?r=553217188</t>
  </si>
  <si>
    <t>HN-86-141</t>
  </si>
  <si>
    <t>5.88 X 5.78 X 3.98</t>
  </si>
  <si>
    <t>https://www.igi.org/reports/verify-your-report?r=547248645</t>
  </si>
  <si>
    <t>HN-127-32</t>
  </si>
  <si>
    <t>5.56 x 5.50 x 4.06</t>
  </si>
  <si>
    <t>https://www.igi.org/reports/verify-your-report?r=553219379</t>
  </si>
  <si>
    <t>HN-134-26</t>
  </si>
  <si>
    <t>5.82 x 5.72 x 3.92</t>
  </si>
  <si>
    <t>https://www.igi.org/reports/verify-your-report?r=563201920</t>
  </si>
  <si>
    <t>HN-141-23</t>
  </si>
  <si>
    <t>5.81 x 5.64 x 4.02</t>
  </si>
  <si>
    <t>https://www.igi.org/reports/verify-your-report?r=571301031</t>
  </si>
  <si>
    <t>HN-130-34</t>
  </si>
  <si>
    <t>5.63 X 5.47 X 4.01</t>
  </si>
  <si>
    <t>https://www.igi.org/reports/verify-your-report?r=560231284</t>
  </si>
  <si>
    <t>HN-134-87</t>
  </si>
  <si>
    <t>5.73 x 5.48 x 4.01</t>
  </si>
  <si>
    <t>https://www.igi.org/reports/verify-your-report?r=563201923</t>
  </si>
  <si>
    <t>HN-128-37</t>
  </si>
  <si>
    <t>5.67 x 5.49 x 4.04</t>
  </si>
  <si>
    <t>https://www.igi.org/reports/verify-your-report?r=553259837</t>
  </si>
  <si>
    <t>HN-135-25</t>
  </si>
  <si>
    <t>5.61 x 5.44 x 4.00</t>
  </si>
  <si>
    <t>https://www.igi.org/reports/verify-your-report?r=566310895</t>
  </si>
  <si>
    <t>HN-141-42</t>
  </si>
  <si>
    <t>5.80 x 5.53 x 3.86</t>
  </si>
  <si>
    <t>https://www.igi.org/reports/verify-your-report?r=571301043</t>
  </si>
  <si>
    <t>HN-130-3</t>
  </si>
  <si>
    <t>5.48 X 5.45 X 4.01</t>
  </si>
  <si>
    <t>https://www.igi.org/reports/verify-your-report?r=560231265</t>
  </si>
  <si>
    <t>HN-127-33</t>
  </si>
  <si>
    <t>5.69 x 5.54 x 3.89</t>
  </si>
  <si>
    <t>https://www.igi.org/reports/verify-your-report?r=551214606</t>
  </si>
  <si>
    <t>HN-127-24</t>
  </si>
  <si>
    <t>5.71 X 5.58 X 3.71</t>
  </si>
  <si>
    <t>https://www.igi.org/reports/verify-your-report?r=553217224</t>
  </si>
  <si>
    <t>HN-130-101</t>
  </si>
  <si>
    <t>5.51 x 5.45 x 3.99</t>
  </si>
  <si>
    <t>https://www.igi.org/reports/verify-your-report?r=561278600</t>
  </si>
  <si>
    <t>HN-127-58</t>
  </si>
  <si>
    <t>5.76 x 5.44 x 3.88</t>
  </si>
  <si>
    <t>https://www.igi.org/reports/verify-your-report?r=553219382</t>
  </si>
  <si>
    <t>HN-127-36</t>
  </si>
  <si>
    <t>5.57 x 5.49 x 3.94</t>
  </si>
  <si>
    <t>https://www.igi.org/reports/verify-your-report?r=553259907</t>
  </si>
  <si>
    <t>HN-127-26</t>
  </si>
  <si>
    <t>MEMO</t>
  </si>
  <si>
    <t>5.47 x 5.42 x 3.96</t>
  </si>
  <si>
    <t>https://www.igi.org/reports/verify-your-report?r=553259908</t>
  </si>
  <si>
    <t>HN-141-22</t>
  </si>
  <si>
    <t>5.51 x 5.44 x 3.99</t>
  </si>
  <si>
    <t>https://www.igi.org/reports/verify-your-report?r=571301030</t>
  </si>
  <si>
    <t>HN-127-12</t>
  </si>
  <si>
    <t>5.55 X 5.42 X 3.92</t>
  </si>
  <si>
    <t>https://www.igi.org/reports/verify-your-report?r=553217223</t>
  </si>
  <si>
    <t>HN-128-23</t>
  </si>
  <si>
    <t>5.64 x 5.50 x 3.89</t>
  </si>
  <si>
    <t>https://www.igi.org/reports/verify-your-report?r=551214612</t>
  </si>
  <si>
    <t>HN-129-44</t>
  </si>
  <si>
    <t>5.65 X 5.53 X 3.87</t>
  </si>
  <si>
    <t>https://www.igi.org/reports/verify-your-report?r=561278595</t>
  </si>
  <si>
    <t>HN-136-26</t>
  </si>
  <si>
    <t>5.74 x 5.61 x 3.80</t>
  </si>
  <si>
    <t>https://www.igi.org/reports/verify-your-report?r=567356446</t>
  </si>
  <si>
    <t>HN-130-44</t>
  </si>
  <si>
    <t>5.57 X 5.40 X 3.86</t>
  </si>
  <si>
    <t>https://www.igi.org/reports/verify-your-report?r=561278584</t>
  </si>
  <si>
    <t>HN-128-34</t>
  </si>
  <si>
    <t>5.48 x 5.39 x 3.89</t>
  </si>
  <si>
    <t>https://www.igi.org/reports/verify-your-report?r=553219373</t>
  </si>
  <si>
    <t>HN-129-40</t>
  </si>
  <si>
    <t>5.48 X 5.30 X 3.85</t>
  </si>
  <si>
    <t>https://www.igi.org/reports/verify-your-report?r=560231298</t>
  </si>
  <si>
    <t>HN-130-15</t>
  </si>
  <si>
    <t>5.55 X 5.39 X 3.79</t>
  </si>
  <si>
    <t>https://www.igi.org/reports/verify-your-report?r=559298579</t>
  </si>
  <si>
    <t>HN-85-116</t>
  </si>
  <si>
    <t>5.48 X 5.43 X 3.91</t>
  </si>
  <si>
    <t>https://www.igi.org/reports/verify-your-report?r=544276934</t>
  </si>
  <si>
    <t>HN-142-34</t>
  </si>
  <si>
    <t>5.48 x 5.41 x 3.94</t>
  </si>
  <si>
    <t>https://www.igi.org/reports/verify-your-report?r=570376239</t>
  </si>
  <si>
    <t>HN-130-36</t>
  </si>
  <si>
    <t>5.42 X 5.41 X 3.93</t>
  </si>
  <si>
    <t>https://www.igi.org/reports/verify-your-report?r=560231296</t>
  </si>
  <si>
    <t>HN-134-25</t>
  </si>
  <si>
    <t>5.57 x 5.39 x 3.76</t>
  </si>
  <si>
    <t>https://www.igi.org/reports/verify-your-report?r=563201919</t>
  </si>
  <si>
    <t>HN-97-37</t>
  </si>
  <si>
    <t>5.41 X 5.28 X 3.83</t>
  </si>
  <si>
    <t>https://www.igi.org/reports/verify-your-report?r=550231430</t>
  </si>
  <si>
    <t>HN-142-35</t>
  </si>
  <si>
    <t>5.80 x 5.60 x 3.82</t>
  </si>
  <si>
    <t>https://www.igi.org/reports/verify-your-report?r=570376240</t>
  </si>
  <si>
    <t>HN-128-12</t>
  </si>
  <si>
    <t>5.58 x 5.44 x 3.96</t>
  </si>
  <si>
    <t>https://www.igi.org/reports/verify-your-report?r=553259828</t>
  </si>
  <si>
    <t>HN-128-45</t>
  </si>
  <si>
    <t>5.46 x 5.27 x 3.89</t>
  </si>
  <si>
    <t>https://www.igi.org/reports/verify-your-report?r=553259827</t>
  </si>
  <si>
    <t>HN-136-25</t>
  </si>
  <si>
    <t>5.59 x 5.51 x 3.79</t>
  </si>
  <si>
    <t>https://www.igi.org/reports/verify-your-report?r=567356447</t>
  </si>
  <si>
    <t>HN-142-36</t>
  </si>
  <si>
    <t>5.42 x 5.22 x 3.81</t>
  </si>
  <si>
    <t>https://www.igi.org/reports/verify-your-report?r=570376235</t>
  </si>
  <si>
    <t>HN-148-32</t>
  </si>
  <si>
    <t>5.48 x 5.48 x 4.02</t>
  </si>
  <si>
    <t>https://www.igi.org/reports/verify-your-report?r=570376201</t>
  </si>
  <si>
    <t>HN-134-86</t>
  </si>
  <si>
    <t>5.49 x 5.32 x 3.83</t>
  </si>
  <si>
    <t>https://www.igi.org/reports/verify-your-report?r=563201922</t>
  </si>
  <si>
    <t>HN-142-30</t>
  </si>
  <si>
    <t>5.43 x 5.41 x 3.96</t>
  </si>
  <si>
    <t>https://www.igi.org/reports/verify-your-report?r=570376234</t>
  </si>
  <si>
    <t>HN-129-7</t>
  </si>
  <si>
    <t>5.40 X 5.30 X 3.68</t>
  </si>
  <si>
    <t>https://www.igi.org/reports/verify-your-report?r=561278549</t>
  </si>
  <si>
    <t>HN-127-35</t>
  </si>
  <si>
    <t>PEAR</t>
  </si>
  <si>
    <t>11.59 x 7.31 x 4.30</t>
  </si>
  <si>
    <t>https://www.igi.org/reports/verify-your-report?r=553217189</t>
  </si>
  <si>
    <t>HN-52-17</t>
  </si>
  <si>
    <t>11.21 X 7.27 X 4.41</t>
  </si>
  <si>
    <t>https://www.igi.org/reports/verify-your-report?r=523275962</t>
  </si>
  <si>
    <t>HN-141-29</t>
  </si>
  <si>
    <t>11.10 x 7.19 x 4.30</t>
  </si>
  <si>
    <t>https://www.igi.org/reports/verify-your-report?r=571301026</t>
  </si>
  <si>
    <t>HN-52-21</t>
  </si>
  <si>
    <t>10.94 X 7.06 X 4.52</t>
  </si>
  <si>
    <t>https://www.igi.org/reports/verify-your-report?r=523279513</t>
  </si>
  <si>
    <t>HN-52-56</t>
  </si>
  <si>
    <t>10.44 X 6.95 X 4.49</t>
  </si>
  <si>
    <t>https://www.igi.org/reports/verify-your-report?r=520212208</t>
  </si>
  <si>
    <t>HN-130-38</t>
  </si>
  <si>
    <t>10.22 X 6.59 X 3.99</t>
  </si>
  <si>
    <t>https://www.igi.org/reports/verify-your-report?r=561278583</t>
  </si>
  <si>
    <t>HN-142-21</t>
  </si>
  <si>
    <t>9.97 x 6.52 x 4.05</t>
  </si>
  <si>
    <t>https://www.igi.org/reports/verify-your-report?r=570376241</t>
  </si>
  <si>
    <t>HN-128-31</t>
  </si>
  <si>
    <t>9.89 x 6.27 x 4.08</t>
  </si>
  <si>
    <t>https://www.igi.org/reports/verify-your-report?r=553219359</t>
  </si>
  <si>
    <t>HN-43-152</t>
  </si>
  <si>
    <t>9.45 X 6.42 X 3.88</t>
  </si>
  <si>
    <t>https://www.igi.org/reports/verify-your-report?r=524248718</t>
  </si>
  <si>
    <t>HN-43-149</t>
  </si>
  <si>
    <t>9.26 x 6.14 x 3.54</t>
  </si>
  <si>
    <t>https://www.igi.org/reports/verify-your-report?r=526286732</t>
  </si>
  <si>
    <t>HN-142-20</t>
  </si>
  <si>
    <t>9.33 x 6.00 x 3.55</t>
  </si>
  <si>
    <t>https://www.igi.org/reports/verify-your-report?r=570376242</t>
  </si>
  <si>
    <t>HN-137-27</t>
  </si>
  <si>
    <t>9.53 x 5.89 x 3.57</t>
  </si>
  <si>
    <t>https://www.igi.org/reports/verify-your-report?r=569328551</t>
  </si>
  <si>
    <t>HN-43-151</t>
  </si>
  <si>
    <t>9.56 x 5.86 x 3.42</t>
  </si>
  <si>
    <t>https://www.igi.org/reports/verify-your-report?r=524248719</t>
  </si>
  <si>
    <t>HN-43-150</t>
  </si>
  <si>
    <t>8.80 x 5.76 x 3.63</t>
  </si>
  <si>
    <t>https://www.igi.org/reports/verify-your-report?r=524248667</t>
  </si>
  <si>
    <t>HN-44-80</t>
  </si>
  <si>
    <t>9.22 x 5.69 x 3.64</t>
  </si>
  <si>
    <t>https://www.igi.org/reports/verify-your-report?r=529266452</t>
  </si>
  <si>
    <t>HN-44-8</t>
  </si>
  <si>
    <t>J</t>
  </si>
  <si>
    <t>9.01 x 5.64 x 3.57</t>
  </si>
  <si>
    <t>https://www.igi.org/reports/verify-your-report?r=528205265</t>
  </si>
  <si>
    <t>HN-134-1</t>
  </si>
  <si>
    <t>9.45 X 5.66 X 3.42</t>
  </si>
  <si>
    <t>https://www.igi.org/reports/verify-your-report?r=564365289</t>
  </si>
  <si>
    <t>HN-136-20</t>
  </si>
  <si>
    <t>9.15 x 5.63 x 3.45</t>
  </si>
  <si>
    <t>https://www.igi.org/reports/verify-your-report?r=567356449</t>
  </si>
  <si>
    <t>HN40-121</t>
  </si>
  <si>
    <t>8.57 X 5.73 X 3.53</t>
  </si>
  <si>
    <t>https://www.igi.org/reports/verify-your-report?r=524248662</t>
  </si>
  <si>
    <t>HN-87-141</t>
  </si>
  <si>
    <t>8.84 x 5.41 x 3.48</t>
  </si>
  <si>
    <t>https://www.igi.org/reports/verify-your-report?r=547266592</t>
  </si>
  <si>
    <t>HN-134-76</t>
  </si>
  <si>
    <t>9.15 x 5.57 x 3.38</t>
  </si>
  <si>
    <t>https://www.igi.org/reports/verify-your-report?r=563201921</t>
  </si>
  <si>
    <t>HN-143-27</t>
  </si>
  <si>
    <t>8.96 x 5.64 x 3.44</t>
  </si>
  <si>
    <t>https://www.igi.org/reports/verify-your-report?r=563211780</t>
  </si>
  <si>
    <t>SM-3-1</t>
  </si>
  <si>
    <t>8.83 x 5.58 x 3.52</t>
  </si>
  <si>
    <t>https://www.igi.org/reports/verify-your-report?r=529266455</t>
  </si>
  <si>
    <t>HN-150-6</t>
  </si>
  <si>
    <t>9.28 x 5.75 x 3.35</t>
  </si>
  <si>
    <t>https://www.igi.org/reports/verify-your-report?r=571307677</t>
  </si>
  <si>
    <t>https://v360.in/diamondview.aspx?cid=preet&amp;d=HN-150-6</t>
  </si>
  <si>
    <t>HN-127-10</t>
  </si>
  <si>
    <t>9.00 x 5.52 x 3.45</t>
  </si>
  <si>
    <t>https://www.igi.org/reports/verify-your-report?r=553236905</t>
  </si>
  <si>
    <t>HN-129-38</t>
  </si>
  <si>
    <t>8.67 X 5.55 X 3.53</t>
  </si>
  <si>
    <t>https://www.igi.org/reports/verify-your-report?r=559298603</t>
  </si>
  <si>
    <t>HN-142-19</t>
  </si>
  <si>
    <t>8.78 x 5.63 x 3.45</t>
  </si>
  <si>
    <t>https://www.igi.org/reports/verify-your-report?r=570376243</t>
  </si>
  <si>
    <t>HN-129-50</t>
  </si>
  <si>
    <t>8.96 X 5.61 X 3.39</t>
  </si>
  <si>
    <t>https://www.igi.org/reports/verify-your-report?r=560231303</t>
  </si>
  <si>
    <t>HN-128-49</t>
  </si>
  <si>
    <t>8.76 x 5.65 x 3.47</t>
  </si>
  <si>
    <t>https://www.igi.org/reports/verify-your-report?r=553259904</t>
  </si>
  <si>
    <t>HN-128-42</t>
  </si>
  <si>
    <t>8.67 x 5.57 x 3.47</t>
  </si>
  <si>
    <t>https://www.igi.org/reports/verify-your-report?r=553219360</t>
  </si>
  <si>
    <t>HN-147-4</t>
  </si>
  <si>
    <t>8.99 x 5.69 x 3.41</t>
  </si>
  <si>
    <t>https://www.igi.org/reports/verify-your-report?r=570370832</t>
  </si>
  <si>
    <t>HN-136-22</t>
  </si>
  <si>
    <t>9.12 x 5.72 x 3.36</t>
  </si>
  <si>
    <t>https://www.igi.org/reports/verify-your-report?r=567356384</t>
  </si>
  <si>
    <t>HN-44-107</t>
  </si>
  <si>
    <t>8.41 X 5.70 X 3.53</t>
  </si>
  <si>
    <t>https://www.igi.org/reports/verify-your-report?r=528205271</t>
  </si>
  <si>
    <t>HN-136-21</t>
  </si>
  <si>
    <t>9.21 x 5.54 x 3.48</t>
  </si>
  <si>
    <t>https://www.igi.org/reports/verify-your-report?r=567356383</t>
  </si>
  <si>
    <t>HN-135-36</t>
  </si>
  <si>
    <t>8.83 x 5.67 x 3.35</t>
  </si>
  <si>
    <t>https://www.igi.org/reports/verify-your-report?r=566310800</t>
  </si>
  <si>
    <t>HN-40-120</t>
  </si>
  <si>
    <t>8.27 X 5.52 X 3.50</t>
  </si>
  <si>
    <t>https://www.igi.org/reports/verify-your-report?r=528205259</t>
  </si>
  <si>
    <t>HN-43-155</t>
  </si>
  <si>
    <t>8.46 x 5.77 x 3.42</t>
  </si>
  <si>
    <t>https://www.igi.org/reports/verify-your-report?r=524248597</t>
  </si>
  <si>
    <t>HN-40-164</t>
  </si>
  <si>
    <t>8.49 x 5.43 x 3.43</t>
  </si>
  <si>
    <t>https://www.igi.org/reports/verify-your-report?r=522235991</t>
  </si>
  <si>
    <t>HN-43-141</t>
  </si>
  <si>
    <t>8.95 x 5.54 x 3.28</t>
  </si>
  <si>
    <t>https://www.igi.org/reports/verify-your-report?r=526286718</t>
  </si>
  <si>
    <t>HN-44-198</t>
  </si>
  <si>
    <t>8.69 x 5.32 x 3.26</t>
  </si>
  <si>
    <t>https://www.igi.org/reports/verify-your-report?r=528205252</t>
  </si>
  <si>
    <t>HN-43-147</t>
  </si>
  <si>
    <t>8.75 X 5.57 X 3.26</t>
  </si>
  <si>
    <t>https://www.igi.org/reports/verify-your-report?r=526286719</t>
  </si>
  <si>
    <t>HN-43-146</t>
  </si>
  <si>
    <t>8.83 x 5.45 x 3.20</t>
  </si>
  <si>
    <t>https://www.igi.org/reports/verify-your-report?r=526286717</t>
  </si>
  <si>
    <t>HN-81-62</t>
  </si>
  <si>
    <t>7.98 X 5.30 X 3.37</t>
  </si>
  <si>
    <t>https://www.igi.org/reports/verify-your-report?r=547233180</t>
  </si>
  <si>
    <t>HN-43-144</t>
  </si>
  <si>
    <t>8.35 x 5.28 x 3.41</t>
  </si>
  <si>
    <t>https://www.igi.org/reports/verify-your-report?r=524248596</t>
  </si>
  <si>
    <t>HN-44-92</t>
  </si>
  <si>
    <t>8.54 x 5.17 x 3.28</t>
  </si>
  <si>
    <t>https://www.igi.org/reports/verify-your-report?r=528205250</t>
  </si>
  <si>
    <t>HN-43-145</t>
  </si>
  <si>
    <t>8.63 x 5.27 x 3.19</t>
  </si>
  <si>
    <t>https://www.igi.org/reports/verify-your-report?r=526286723</t>
  </si>
  <si>
    <t>HN-43-139</t>
  </si>
  <si>
    <t>8.43 x 5.22 x 3.27</t>
  </si>
  <si>
    <t>https://www.igi.org/reports/verify-your-report?r=528205258</t>
  </si>
  <si>
    <t>HN-43-157</t>
  </si>
  <si>
    <t>7.85 x 5.20 x 3.34</t>
  </si>
  <si>
    <t>https://www.igi.org/reports/verify-your-report?r=526286724</t>
  </si>
  <si>
    <t>HN-44-86</t>
  </si>
  <si>
    <t>7.98 x 5.19 x 3.27</t>
  </si>
  <si>
    <t>https://www.igi.org/reports/verify-your-report?r=528205251</t>
  </si>
  <si>
    <t>HN-52-33</t>
  </si>
  <si>
    <t>OVAL</t>
  </si>
  <si>
    <t>10.77 x 7.71 x 4.70</t>
  </si>
  <si>
    <t>https://www.igi.org/reports/verify-your-report?r=520291588</t>
  </si>
  <si>
    <t>HN-52-36</t>
  </si>
  <si>
    <t>10.56 x 7.46 x 4.57</t>
  </si>
  <si>
    <t>https://www.igi.org/reports/verify-your-report?r=522235992</t>
  </si>
  <si>
    <t>HN-52-16</t>
  </si>
  <si>
    <t>10.36 x 7.46 x 4.65</t>
  </si>
  <si>
    <t>https://www.igi.org/reports/verify-your-report?r=523271699</t>
  </si>
  <si>
    <t>HN-52-39</t>
  </si>
  <si>
    <t>10.25 x 7.34 x 4.56</t>
  </si>
  <si>
    <t>https://www.igi.org/reports/verify-your-report?r=520212219</t>
  </si>
  <si>
    <t>HN-52-20</t>
  </si>
  <si>
    <t>10.36 x 7.41 x 4.55</t>
  </si>
  <si>
    <t>https://www.igi.org/reports/verify-your-report?r=523271698</t>
  </si>
  <si>
    <t>HN-52-66</t>
  </si>
  <si>
    <t>9.94 x 7.20 x 4.48</t>
  </si>
  <si>
    <t>https://www.igi.org/reports/verify-your-report?r=520212220</t>
  </si>
  <si>
    <t>HN-52-63</t>
  </si>
  <si>
    <t>9.82 x 7.08 x 4.46</t>
  </si>
  <si>
    <t>https://www.igi.org/reports/verify-your-report?r=522253998</t>
  </si>
  <si>
    <t>HN-127-20</t>
  </si>
  <si>
    <t>9.69 x 6.68 x 4.23</t>
  </si>
  <si>
    <t>https://www.igi.org/reports/verify-your-report?r=551214624</t>
  </si>
  <si>
    <t>HN-130-102</t>
  </si>
  <si>
    <t>9.59 X 6.57 X 3.83</t>
  </si>
  <si>
    <t>https://www.igi.org/reports/verify-your-report?r=561278601</t>
  </si>
  <si>
    <t>HN-44-42</t>
  </si>
  <si>
    <t>9.02 x 6.27 x 4.12</t>
  </si>
  <si>
    <t>https://www.igi.org/reports/verify-your-report?r=529266463</t>
  </si>
  <si>
    <t>HN-134-90</t>
  </si>
  <si>
    <t>8.91 x 6.19 x 3.92</t>
  </si>
  <si>
    <t>https://www.igi.org/reports/verify-your-report?r=563201924</t>
  </si>
  <si>
    <t>HN-142-29</t>
  </si>
  <si>
    <t>8.92 x 6.00 x 3.59</t>
  </si>
  <si>
    <t>https://www.igi.org/reports/verify-your-report?r=570376230</t>
  </si>
  <si>
    <t>HN-148-19</t>
  </si>
  <si>
    <t>8.64 x 5.86 x 3.58</t>
  </si>
  <si>
    <t>https://www.igi.org/reports/verify-your-report?r=570376204</t>
  </si>
  <si>
    <t>HN-101-60</t>
  </si>
  <si>
    <t>8.58 x 5.88 x 3.59</t>
  </si>
  <si>
    <t>https://www.igi.org/reports/verify-your-report?r=549294084</t>
  </si>
  <si>
    <t>HN-86-126</t>
  </si>
  <si>
    <t>8.70 x 5.77 x 3.50</t>
  </si>
  <si>
    <t>https://www.igi.org/reports/verify-your-report?r=547248644</t>
  </si>
  <si>
    <t>HN-135-40</t>
  </si>
  <si>
    <t>8.08 x 5.61 x 3.50</t>
  </si>
  <si>
    <t>https://www.igi.org/reports/verify-your-report?r=566393794</t>
  </si>
  <si>
    <t>HN-150-2</t>
  </si>
  <si>
    <t>8.30 x 5.85 x 3.44</t>
  </si>
  <si>
    <t>https://www.igi.org/reports/verify-your-report?r=571307673</t>
  </si>
  <si>
    <t>https://v360.in/diamondview.aspx?cid=preet&amp;d=HN-150-2</t>
  </si>
  <si>
    <t>HN-135-38</t>
  </si>
  <si>
    <t>8.22 x 5.74 x 3.52</t>
  </si>
  <si>
    <t>https://www.igi.org/reports/verify-your-report?r=566393793</t>
  </si>
  <si>
    <t>HN-150-1</t>
  </si>
  <si>
    <t>8.44 x 5.70 x 3.36</t>
  </si>
  <si>
    <t>https://www.igi.org/reports/verify-your-report?r=571307672</t>
  </si>
  <si>
    <t>https://v360.in/diamondview.aspx?cid=preet&amp;d=HN-150-1</t>
  </si>
  <si>
    <t>HN-137-24</t>
  </si>
  <si>
    <t>8.27 x 5.71 x 3.48</t>
  </si>
  <si>
    <t>https://www.igi.org/reports/verify-your-report?r=569328549</t>
  </si>
  <si>
    <t>HN-137-23</t>
  </si>
  <si>
    <t>8.30 x 5.84 x 3.47</t>
  </si>
  <si>
    <t>https://www.igi.org/reports/verify-your-report?r=569328548</t>
  </si>
  <si>
    <t>HN-81-142</t>
  </si>
  <si>
    <t>7.73 x 5.48 x 3.65</t>
  </si>
  <si>
    <t>https://www.igi.org/reports/verify-your-report?r=547265228</t>
  </si>
  <si>
    <t>HN-135-39</t>
  </si>
  <si>
    <t>8.16 x 5.59 x 3.45</t>
  </si>
  <si>
    <t>https://www.igi.org/reports/verify-your-report?r=566310896</t>
  </si>
  <si>
    <t>HN-136-23</t>
  </si>
  <si>
    <t>8.21 x 5.79 x 3.49</t>
  </si>
  <si>
    <t>https://www.igi.org/reports/verify-your-report?r=567356448</t>
  </si>
  <si>
    <t>HN-130-1</t>
  </si>
  <si>
    <t>MARQUISE</t>
  </si>
  <si>
    <t>13.33 X 6.71 X 3.94</t>
  </si>
  <si>
    <t>https://www.igi.org/reports/verify-your-report?r=561278582</t>
  </si>
  <si>
    <t>HN-128-11</t>
  </si>
  <si>
    <t>12.71 x 6.32 x 3.93</t>
  </si>
  <si>
    <t>https://www.igi.org/reports/verify-your-report?r=553217185</t>
  </si>
  <si>
    <t>HN-130-17</t>
  </si>
  <si>
    <t>12.00 X 6.06 X 3.76</t>
  </si>
  <si>
    <t>https://www.igi.org/reports/verify-your-report?r=561278598</t>
  </si>
  <si>
    <t>HN-127-14</t>
  </si>
  <si>
    <t>12.09 x 6.05 x 3.56</t>
  </si>
  <si>
    <t>https://www.igi.org/reports/verify-your-report?r=553219381</t>
  </si>
  <si>
    <t>HN-129-45</t>
  </si>
  <si>
    <t>11.68 X 5.82 X 3.64</t>
  </si>
  <si>
    <t>https://www.igi.org/reports/verify-your-report?r=559298598</t>
  </si>
  <si>
    <t>HN-130-7</t>
  </si>
  <si>
    <t>11.30 X 5.63 X 3.54</t>
  </si>
  <si>
    <t>https://www.igi.org/reports/verify-your-report?r=561278597</t>
  </si>
  <si>
    <t>HN-130-23</t>
  </si>
  <si>
    <t>11.11 X 5.64 X 3.58</t>
  </si>
  <si>
    <t>https://www.igi.org/reports/verify-your-report?r=561278580</t>
  </si>
  <si>
    <t>HN-150-10</t>
  </si>
  <si>
    <t>11.67 x 5.78 x 3.45</t>
  </si>
  <si>
    <t>https://www.igi.org/reports/verify-your-report?r=571307681</t>
  </si>
  <si>
    <t>https://v360.in/diamondview.aspx?cid=preet&amp;d=HN-150-10</t>
  </si>
  <si>
    <t>HN-147-5</t>
  </si>
  <si>
    <t>11.64 x 5.84 x 3.35</t>
  </si>
  <si>
    <t>https://www.igi.org/reports/verify-your-report?r=570370835</t>
  </si>
  <si>
    <t>HN-148-26</t>
  </si>
  <si>
    <t>11.31 x 5.76 x 3.40</t>
  </si>
  <si>
    <t>https://www.igi.org/reports/verify-your-report?r=570376187</t>
  </si>
  <si>
    <t>HN-150-9</t>
  </si>
  <si>
    <t>12.24 x 5.56 x 3.23</t>
  </si>
  <si>
    <t>https://www.igi.org/reports/verify-your-report?r=571307680</t>
  </si>
  <si>
    <t>https://v360.in/diamondview.aspx?cid=preet&amp;d=HN-150-9</t>
  </si>
  <si>
    <t>HN-127-50</t>
  </si>
  <si>
    <t>11.08 x 5.51 x 3.48</t>
  </si>
  <si>
    <t>https://www.igi.org/reports/verify-your-report?r=551214609</t>
  </si>
  <si>
    <t>HN-148-28</t>
  </si>
  <si>
    <t>11.34 x 5.63 x 3.28</t>
  </si>
  <si>
    <t>https://www.igi.org/reports/verify-your-report?r=570376186</t>
  </si>
  <si>
    <t>HN-150-8</t>
  </si>
  <si>
    <t>9.93 x 5.70 x 3.53</t>
  </si>
  <si>
    <t>https://www.igi.org/reports/verify-your-report?r=571307679</t>
  </si>
  <si>
    <t>https://v360.in/diamondview.aspx?cid=preet&amp;d=HN-150-8</t>
  </si>
  <si>
    <t>HN-150-7</t>
  </si>
  <si>
    <t>10.88 x 5.48 x 3.23</t>
  </si>
  <si>
    <t>https://www.igi.org/reports/verify-your-report?r=571307678</t>
  </si>
  <si>
    <t>https://v360.in/diamondview.aspx?cid=preet&amp;d=HN-150-7</t>
  </si>
  <si>
    <t>HN-148-27</t>
  </si>
  <si>
    <t>10.66 x 5.42 x 3.23</t>
  </si>
  <si>
    <t>https://www.igi.org/reports/verify-your-report?r=570376185</t>
  </si>
  <si>
    <t>HN-141-28</t>
  </si>
  <si>
    <t>10.57 x 5.26 x 3.31</t>
  </si>
  <si>
    <t>https://www.igi.org/reports/verify-your-report?r=571301025</t>
  </si>
  <si>
    <t>HN-112-9</t>
  </si>
  <si>
    <t>9.81 x 5.31 x 3.26</t>
  </si>
  <si>
    <t>https://www.igi.org/reports/verify-your-report?r=551291808</t>
  </si>
  <si>
    <t>HN-137-26</t>
  </si>
  <si>
    <t>10.33 x 5.30 x 3.28</t>
  </si>
  <si>
    <t>https://www.igi.org/reports/verify-your-report?r=569328550</t>
  </si>
  <si>
    <t>HN-135-37</t>
  </si>
  <si>
    <t>10.69 x 5.37 x 3.15</t>
  </si>
  <si>
    <t>https://www.igi.org/reports/verify-your-report?r=566393792</t>
  </si>
  <si>
    <t>HN-130-31</t>
  </si>
  <si>
    <t>EMERALD</t>
  </si>
  <si>
    <t>9.48 X 6.77 X 4.59</t>
  </si>
  <si>
    <t>https://www.igi.org/reports/verify-your-report?r=561259441</t>
  </si>
  <si>
    <t>HN-128-01</t>
  </si>
  <si>
    <t>9.81 x 6.81 x 4.51</t>
  </si>
  <si>
    <t>https://www.igi.org/reports/verify-your-report?r=553259920</t>
  </si>
  <si>
    <t>HN-52-22</t>
  </si>
  <si>
    <t>9.09 x 6.72 x 4.68</t>
  </si>
  <si>
    <t>https://www.igi.org/reports/verify-your-report?r=522254001</t>
  </si>
  <si>
    <t>HN-142-25</t>
  </si>
  <si>
    <t>9.36 x 6.78 x 4.46</t>
  </si>
  <si>
    <t>https://www.igi.org/reports/verify-your-report?r=570376254</t>
  </si>
  <si>
    <t>HN-141-12</t>
  </si>
  <si>
    <t>9.44 x 6.80 x 4.85</t>
  </si>
  <si>
    <t>https://www.igi.org/reports/verify-your-report?r=571301886</t>
  </si>
  <si>
    <t>https://v360.in/diamondview.aspx?cid=preet&amp;d=HN-141-12</t>
  </si>
  <si>
    <t>HN-52-14</t>
  </si>
  <si>
    <t>9.18 x 6.59 x 4.67</t>
  </si>
  <si>
    <t>https://www.igi.org/reports/verify-your-report?r=523275959</t>
  </si>
  <si>
    <t>HN-130-2</t>
  </si>
  <si>
    <t>9.16 X 6.50 X 4.38</t>
  </si>
  <si>
    <t>https://www.igi.org/reports/verify-your-report?r=559298591</t>
  </si>
  <si>
    <t>HN-130-12</t>
  </si>
  <si>
    <t>9.32 X 6.41 X 4.27</t>
  </si>
  <si>
    <t>https://www.igi.org/reports/verify-your-report?r=560231271</t>
  </si>
  <si>
    <t>HN-52-46</t>
  </si>
  <si>
    <t>8.69 x 6.46 x 4.52</t>
  </si>
  <si>
    <t>https://www.igi.org/reports/verify-your-report?r=522253996</t>
  </si>
  <si>
    <t>HN-128-02</t>
  </si>
  <si>
    <t>9.39 x 6.45 x 4.14</t>
  </si>
  <si>
    <t>https://www.igi.org/reports/verify-your-report?r=553259836</t>
  </si>
  <si>
    <t>HN-141-11</t>
  </si>
  <si>
    <t>9.00 x 6.20 x 4.31</t>
  </si>
  <si>
    <t>https://www.igi.org/reports/verify-your-report?r=571301006</t>
  </si>
  <si>
    <t>https://v360.in/diamondview.aspx?cid=preet&amp;d=HN-141-11</t>
  </si>
  <si>
    <t>HN-129-9</t>
  </si>
  <si>
    <t>8.89 X 6.30 X 4.26</t>
  </si>
  <si>
    <t>https://www.igi.org/reports/verify-your-report?r=559298585</t>
  </si>
  <si>
    <t>HN-127-1</t>
  </si>
  <si>
    <t>9.24 x 6.39 x 3.92</t>
  </si>
  <si>
    <t>https://www.igi.org/reports/verify-your-report?r=553217191</t>
  </si>
  <si>
    <t>HN-52-34</t>
  </si>
  <si>
    <t>8.58 x 6.22 x 4.43</t>
  </si>
  <si>
    <t>https://www.igi.org/reports/verify-your-report?r=523279510</t>
  </si>
  <si>
    <t>HN-141-10</t>
  </si>
  <si>
    <t>9.21 x 6.35 x 3.95</t>
  </si>
  <si>
    <t>https://www.igi.org/reports/verify-your-report?r=571301005</t>
  </si>
  <si>
    <t>https://v360.in/diamondview.aspx?cid=preet&amp;d=HN-141-10</t>
  </si>
  <si>
    <t>HN-52-53</t>
  </si>
  <si>
    <t>8.54 x 6.09 x 4.26</t>
  </si>
  <si>
    <t>https://www.igi.org/reports/verify-your-report?r=523271700</t>
  </si>
  <si>
    <t>HN-129-12</t>
  </si>
  <si>
    <t>8.51 X 6.03 X 4.18</t>
  </si>
  <si>
    <t>https://www.igi.org/reports/verify-your-report?r=559298582</t>
  </si>
  <si>
    <t>HN-129-13</t>
  </si>
  <si>
    <t>8.48 X 6.12 X 4.18</t>
  </si>
  <si>
    <t>https://www.igi.org/reports/verify-your-report?r=559298583</t>
  </si>
  <si>
    <t>HN-128-15</t>
  </si>
  <si>
    <t>8.53 x 6.04 x 4.09</t>
  </si>
  <si>
    <t>https://www.igi.org/reports/verify-your-report?r=553217183</t>
  </si>
  <si>
    <t>HN-127-31</t>
  </si>
  <si>
    <t>8.55 X 6.16 X 3.93</t>
  </si>
  <si>
    <t>https://www.igi.org/reports/verify-your-report?r=553217220</t>
  </si>
  <si>
    <t>HN-40-44</t>
  </si>
  <si>
    <t>8.41 x 6.00 x 4.23</t>
  </si>
  <si>
    <t>https://www.igi.org/reports/verify-your-report?r=523298152</t>
  </si>
  <si>
    <t>HN-129-15</t>
  </si>
  <si>
    <t>8.51 X 6.17 X 4.14</t>
  </si>
  <si>
    <t>https://www.igi.org/reports/verify-your-report?r=559298578</t>
  </si>
  <si>
    <t>HN-128-14</t>
  </si>
  <si>
    <t>8.64 x 5.83 x 3.92</t>
  </si>
  <si>
    <t>https://www.igi.org/reports/verify-your-report?r=553259841</t>
  </si>
  <si>
    <t>HN-129-25</t>
  </si>
  <si>
    <t>8.38 X 5.98 X 4.07</t>
  </si>
  <si>
    <t>https://www.igi.org/reports/verify-your-report?r=559298575</t>
  </si>
  <si>
    <t>HN-129-30</t>
  </si>
  <si>
    <t>8.73 X 5.80 X 3.98</t>
  </si>
  <si>
    <t>https://www.igi.org/reports/verify-your-report?r=560231281</t>
  </si>
  <si>
    <t>HN-130-4</t>
  </si>
  <si>
    <t>8.26 X 5.96 X 4.07</t>
  </si>
  <si>
    <t>https://www.igi.org/reports/verify-your-report?r=560231267</t>
  </si>
  <si>
    <t>HN-129-14</t>
  </si>
  <si>
    <t>8.56 X 5.95 X 4.02</t>
  </si>
  <si>
    <t>https://www.igi.org/reports/verify-your-report?r=559298580</t>
  </si>
  <si>
    <t>HN-129-6</t>
  </si>
  <si>
    <t>8.60 X 5.82 X 4.00</t>
  </si>
  <si>
    <t>https://www.igi.org/reports/verify-your-report?r=559298587</t>
  </si>
  <si>
    <t>HN-128-44</t>
  </si>
  <si>
    <t>8.38 x 6.05 x 4.02</t>
  </si>
  <si>
    <t>https://www.igi.org/reports/verify-your-report?r=553259839</t>
  </si>
  <si>
    <t>HN-130-9</t>
  </si>
  <si>
    <t>8.65 X 5.98 X 3.90</t>
  </si>
  <si>
    <t>https://www.igi.org/reports/verify-your-report?r=560231269</t>
  </si>
  <si>
    <t>HN-128-28</t>
  </si>
  <si>
    <t>8.56 x 5.89 x 3.93</t>
  </si>
  <si>
    <t>https://www.igi.org/reports/verify-your-report?r=553259833</t>
  </si>
  <si>
    <t>HN-141-9</t>
  </si>
  <si>
    <t>8.66 x 5.98 x 3.99</t>
  </si>
  <si>
    <t>https://www.igi.org/reports/verify-your-report?r=571301004</t>
  </si>
  <si>
    <t>https://v360.in/diamondview.aspx?cid=preet&amp;d=HN-141-9</t>
  </si>
  <si>
    <t>HN-129-20</t>
  </si>
  <si>
    <t>8.50 X 5.75 X 3.95</t>
  </si>
  <si>
    <t>https://www.igi.org/reports/verify-your-report?r=559298577</t>
  </si>
  <si>
    <t>HN-43-171</t>
  </si>
  <si>
    <t>8.69 x 6.01 x 3.67</t>
  </si>
  <si>
    <t>https://www.igi.org/reports/verify-your-report?r=526286730</t>
  </si>
  <si>
    <t>HN-150-18</t>
  </si>
  <si>
    <t>8.18 x 5.83 x 4.03</t>
  </si>
  <si>
    <t>https://www.igi.org/reports/verify-your-report?r=571307671</t>
  </si>
  <si>
    <t>https://v360.in/diamondview.aspx?cid=preet&amp;d=HN-150-18</t>
  </si>
  <si>
    <t>HN-149-10</t>
  </si>
  <si>
    <t>8.02 x 5.73 x 3.88</t>
  </si>
  <si>
    <t>https://www.igi.org/reports/verify-your-report?r=570370810</t>
  </si>
  <si>
    <t>HN-149-11</t>
  </si>
  <si>
    <t>8.02 x 5.73 x 3.97</t>
  </si>
  <si>
    <t>https://www.igi.org/reports/verify-your-report?r=570370819</t>
  </si>
  <si>
    <t>HN-128-27</t>
  </si>
  <si>
    <t>8.22 x 5.68 x 3.70</t>
  </si>
  <si>
    <t>https://www.igi.org/reports/verify-your-report?r=553219374</t>
  </si>
  <si>
    <t>HN-148-13</t>
  </si>
  <si>
    <t>8.09 x 5.77 x 3.75</t>
  </si>
  <si>
    <t>https://www.igi.org/reports/verify-your-report?r=570376198</t>
  </si>
  <si>
    <t>HN-130-26</t>
  </si>
  <si>
    <t>7.90 X 5.48 X 3.95</t>
  </si>
  <si>
    <t>https://www.igi.org/reports/verify-your-report?r=560231277</t>
  </si>
  <si>
    <t>HN-128-24</t>
  </si>
  <si>
    <t>8.05 x 5.65 x 3.76</t>
  </si>
  <si>
    <t>https://www.igi.org/reports/verify-your-report?r=553259840</t>
  </si>
  <si>
    <t>HN-129-24</t>
  </si>
  <si>
    <t>8.20 X 5.59 X 3.80</t>
  </si>
  <si>
    <t>https://www.igi.org/reports/verify-your-report?r=559298576</t>
  </si>
  <si>
    <t>HN-130-39</t>
  </si>
  <si>
    <t>8.20 X 5.51 X 3.80</t>
  </si>
  <si>
    <t>https://www.igi.org/reports/verify-your-report?r=561259406</t>
  </si>
  <si>
    <t>HN-149-7</t>
  </si>
  <si>
    <t>8.11 x 5.64 x 3.58</t>
  </si>
  <si>
    <t>https://www.igi.org/reports/verify-your-report?r=570370818</t>
  </si>
  <si>
    <t>HN-149-8</t>
  </si>
  <si>
    <t>7.97 x 5.68 x 3.60</t>
  </si>
  <si>
    <t>https://www.igi.org/reports/verify-your-report?r=570370809</t>
  </si>
  <si>
    <t>HN-129-29</t>
  </si>
  <si>
    <t>7.72 X 5.49 X 3.82</t>
  </si>
  <si>
    <t>https://www.igi.org/reports/verify-your-report?r=560231279</t>
  </si>
  <si>
    <t>HN-149-6</t>
  </si>
  <si>
    <t>7.95 x 5.51 x 3.56</t>
  </si>
  <si>
    <t>https://www.igi.org/reports/verify-your-report?r=570370816</t>
  </si>
  <si>
    <t>HN-28</t>
  </si>
  <si>
    <t>7.93 x 5.60 x 3.44</t>
  </si>
  <si>
    <t>https://www.igi.org/reports/verify-your-report?r=464109431</t>
  </si>
  <si>
    <t>HN-129-41</t>
  </si>
  <si>
    <t>8.08 X 5.35 X 3.63</t>
  </si>
  <si>
    <t>https://www.igi.org/reports/verify-your-report?r=559298602</t>
  </si>
  <si>
    <t>HN-129-35</t>
  </si>
  <si>
    <t>7.79 X 5.36 X 3.57</t>
  </si>
  <si>
    <t>https://www.igi.org/reports/verify-your-report?r=559298581</t>
  </si>
  <si>
    <t>HN-130-27</t>
  </si>
  <si>
    <t>8.18 X 5.32 X 3.49</t>
  </si>
  <si>
    <t>https://www.igi.org/reports/verify-your-report?r=560231299</t>
  </si>
  <si>
    <t>HN-129-31</t>
  </si>
  <si>
    <t>7.58 X 5.40 X 3.71</t>
  </si>
  <si>
    <t>https://www.igi.org/reports/verify-your-report?r=559298572</t>
  </si>
  <si>
    <t>HN-141-20</t>
  </si>
  <si>
    <t>7.77 x 5.26 x 3.61</t>
  </si>
  <si>
    <t>https://www.igi.org/reports/verify-your-report?r=571301028</t>
  </si>
  <si>
    <t>HN-43-161</t>
  </si>
  <si>
    <t>8.01 x 5.49 x 3.32</t>
  </si>
  <si>
    <t>https://www.igi.org/reports/verify-your-report?r=526286727</t>
  </si>
  <si>
    <t>HN-129-92</t>
  </si>
  <si>
    <t>7.65 X 5.46 X 3.53</t>
  </si>
  <si>
    <t>https://www.igi.org/reports/verify-your-report?r=561278586</t>
  </si>
  <si>
    <t>HN-130-20</t>
  </si>
  <si>
    <t>8.00 X 5.25 X 3.58</t>
  </si>
  <si>
    <t>https://www.igi.org/reports/verify-your-report?r=560231276</t>
  </si>
  <si>
    <t>HN-127-53</t>
  </si>
  <si>
    <t>7.66 x 5.34 x 3.65</t>
  </si>
  <si>
    <t>https://www.igi.org/reports/verify-your-report?r=553219376</t>
  </si>
  <si>
    <t>HN-129-26</t>
  </si>
  <si>
    <t>7.75 X 5.34 X 3.62</t>
  </si>
  <si>
    <t>https://www.igi.org/reports/verify-your-report?r=559298574</t>
  </si>
  <si>
    <t>HN-149-5</t>
  </si>
  <si>
    <t>8.08 x 5.36 x 3.50</t>
  </si>
  <si>
    <t>https://www.igi.org/reports/verify-your-report?r=570370814</t>
  </si>
  <si>
    <t>HN-87-114</t>
  </si>
  <si>
    <t>7.96 x 5.29 x 3.37</t>
  </si>
  <si>
    <t>https://www.igi.org/reports/verify-your-report?r=547266590</t>
  </si>
  <si>
    <t>HN-130-19</t>
  </si>
  <si>
    <t>7.62 X 5.40 X 3.68</t>
  </si>
  <si>
    <t>https://www.igi.org/reports/verify-your-report?r=560231275</t>
  </si>
  <si>
    <t>HN-130-10</t>
  </si>
  <si>
    <t>8.07 X 5.34 X 3.46</t>
  </si>
  <si>
    <t>https://www.igi.org/reports/verify-your-report?r=559298584</t>
  </si>
  <si>
    <t>HN-100-5</t>
  </si>
  <si>
    <t>7.41 x 5.45 x 3.61</t>
  </si>
  <si>
    <t>https://www.igi.org/reports/verify-your-report?r=496107131</t>
  </si>
  <si>
    <t>HN-130-21</t>
  </si>
  <si>
    <t>7.64 X 5.28 X 3.45</t>
  </si>
  <si>
    <t>https://www.igi.org/reports/verify-your-report?r=561259404</t>
  </si>
  <si>
    <t>HN-148-12</t>
  </si>
  <si>
    <t>7.74 x 5.19 x 3.48</t>
  </si>
  <si>
    <t>https://www.igi.org/reports/verify-your-report?r=570376197</t>
  </si>
  <si>
    <t>HN-141-18</t>
  </si>
  <si>
    <t>7.70 x 5.24 x 3.57</t>
  </si>
  <si>
    <t>https://www.igi.org/reports/verify-your-report?r=571301011</t>
  </si>
  <si>
    <t>https://v360.in/diamondview.aspx?cid=preet&amp;d=HN-141-18</t>
  </si>
  <si>
    <t>HN-137-14</t>
  </si>
  <si>
    <t>7.72 x 5.40 x 3.36</t>
  </si>
  <si>
    <t>https://www.igi.org/reports/verify-your-report?r=569328546</t>
  </si>
  <si>
    <t>HN-128-50</t>
  </si>
  <si>
    <t>7.45 x 5.10 x 3.64</t>
  </si>
  <si>
    <t>https://www.igi.org/reports/verify-your-report?r=553259832</t>
  </si>
  <si>
    <t>HN-141-19</t>
  </si>
  <si>
    <t>7.82 x 5.12 x 3.38</t>
  </si>
  <si>
    <t>https://www.igi.org/reports/verify-your-report?r=571301012</t>
  </si>
  <si>
    <t>https://v360.in/diamondview.aspx?cid=preet&amp;d=HN-141-19</t>
  </si>
  <si>
    <t>HN-150-17</t>
  </si>
  <si>
    <t>7.69 x 5.09 x 3.47</t>
  </si>
  <si>
    <t>https://www.igi.org/reports/verify-your-report?r=571307670</t>
  </si>
  <si>
    <t>https://v360.in/diamondview.aspx?cid=preet&amp;d=HN-150-17</t>
  </si>
  <si>
    <t>HN-141-17</t>
  </si>
  <si>
    <t>7.34 x 5.15 x 3.47</t>
  </si>
  <si>
    <t>https://www.igi.org/reports/verify-your-report?r=571301010</t>
  </si>
  <si>
    <t>https://v360.in/diamondview.aspx?cid=preet&amp;d=HN-141-17</t>
  </si>
  <si>
    <t>HN-43-24</t>
  </si>
  <si>
    <t>7.22 x 5.16 x 3.28</t>
  </si>
  <si>
    <t>https://www.igi.org/reports/verify-your-report?r=524211504</t>
  </si>
  <si>
    <t>HN-135-18</t>
  </si>
  <si>
    <t>7.65 x 5.16 x 3.26</t>
  </si>
  <si>
    <t>https://www.igi.org/reports/verify-your-report?r=566393804</t>
  </si>
  <si>
    <t>HN-130-41</t>
  </si>
  <si>
    <t>7.45 X 5.16 X 3.55</t>
  </si>
  <si>
    <t>https://www.igi.org/reports/verify-your-report?r=561259405</t>
  </si>
  <si>
    <t>HN-148-15</t>
  </si>
  <si>
    <t>7.54 x 5.06 x 3.33</t>
  </si>
  <si>
    <t>https://www.igi.org/reports/verify-your-report?r=570376196</t>
  </si>
  <si>
    <t>HN-149-4</t>
  </si>
  <si>
    <t>7.55 x 5.00 x 3.41</t>
  </si>
  <si>
    <t>https://www.igi.org/reports/verify-your-report?r=570370813</t>
  </si>
  <si>
    <t>HN-37-100-A</t>
  </si>
  <si>
    <t>7.42 x 5.08 x 3.50</t>
  </si>
  <si>
    <t>https://www.igi.org/reports/verify-your-report?r=519258110</t>
  </si>
  <si>
    <t>HN-141-16</t>
  </si>
  <si>
    <t>7.03 x 5.12 x 3.51</t>
  </si>
  <si>
    <t>https://www.igi.org/reports/verify-your-report?r=571301009</t>
  </si>
  <si>
    <t>https://v360.in/diamondview.aspx?cid=preet&amp;d=HN-141-16</t>
  </si>
  <si>
    <t>HN-37-79</t>
  </si>
  <si>
    <t>7.43 x 5.13 x 3.20</t>
  </si>
  <si>
    <t>https://www.igi.org/reports/verify-your-report?r=519258107</t>
  </si>
  <si>
    <t>HN-67-56</t>
  </si>
  <si>
    <t>7.24 x 5.03 x 3.46</t>
  </si>
  <si>
    <t>https://www.igi.org/reports/verify-your-report?r=539217267</t>
  </si>
  <si>
    <t>HN-36</t>
  </si>
  <si>
    <t>7.22 x 4.95 x 3.42</t>
  </si>
  <si>
    <t>https://www.igi.org/reports/verify-your-report?r=467147643</t>
  </si>
  <si>
    <t>HN-129-4</t>
  </si>
  <si>
    <t>7.34 X 4.94 X 3.43</t>
  </si>
  <si>
    <t>https://www.igi.org/reports/verify-your-report?r=559298589</t>
  </si>
  <si>
    <t>HN-147-15</t>
  </si>
  <si>
    <t>7.60 x 5.05 x 3.20</t>
  </si>
  <si>
    <t>https://www.igi.org/reports/verify-your-report?r=570370833</t>
  </si>
  <si>
    <t>HN-134-2</t>
  </si>
  <si>
    <t>7.40 x 4.95 x 3.20</t>
  </si>
  <si>
    <t>https://www.igi.org/reports/verify-your-report?r=563201917</t>
  </si>
  <si>
    <t>HN-142-22</t>
  </si>
  <si>
    <t>7.34 x 5.02 x 3.22</t>
  </si>
  <si>
    <t>https://www.igi.org/reports/verify-your-report?r=570376233</t>
  </si>
  <si>
    <t>HN-137-9</t>
  </si>
  <si>
    <t>7.36 x 5.09 x 3.14</t>
  </si>
  <si>
    <t>https://www.igi.org/reports/verify-your-report?r=569328542</t>
  </si>
  <si>
    <t>HN-137-15</t>
  </si>
  <si>
    <t>6.78 x 5.04 x 3.44</t>
  </si>
  <si>
    <t>https://www.igi.org/reports/verify-your-report?r=569328547</t>
  </si>
  <si>
    <t>HN-134-75</t>
  </si>
  <si>
    <t>7.30 x 4.75 x 3.28</t>
  </si>
  <si>
    <t>https://www.igi.org/reports/verify-your-report?r=564365285</t>
  </si>
  <si>
    <t>HN-129-91</t>
  </si>
  <si>
    <t>7.27 X 4.85 X 3.42</t>
  </si>
  <si>
    <t>https://www.igi.org/reports/verify-your-report?r=561278585</t>
  </si>
  <si>
    <t>HN-25</t>
  </si>
  <si>
    <t>7.27 x 5.02 x 3.30</t>
  </si>
  <si>
    <t>https://www.igi.org/reports/verify-your-report?r=464109432</t>
  </si>
  <si>
    <t>HN-136-43</t>
  </si>
  <si>
    <t>7.35 x 4.92 x 3.11</t>
  </si>
  <si>
    <t>https://www.igi.org/reports/verify-your-report?r=567356402</t>
  </si>
  <si>
    <t>HN-39-122</t>
  </si>
  <si>
    <t>7.09 x 4.73 x 3.40</t>
  </si>
  <si>
    <t>https://www.igi.org/reports/verify-your-report?r=520208299</t>
  </si>
  <si>
    <t>HN-137-11</t>
  </si>
  <si>
    <t>7.34 X 4.97 X 3.22</t>
  </si>
  <si>
    <t>https://www.igi.org/reports/verify-your-report?r=569328544</t>
  </si>
  <si>
    <t>HN-43-169</t>
  </si>
  <si>
    <t>7.14 x 4.97 x 3.12</t>
  </si>
  <si>
    <t>https://www.igi.org/reports/verify-your-report?r=528205274</t>
  </si>
  <si>
    <t>HN-147-11</t>
  </si>
  <si>
    <t>6.97 x 4.82 x 3.31</t>
  </si>
  <si>
    <t>https://www.igi.org/reports/verify-your-report?r=570370834</t>
  </si>
  <si>
    <t>HN-105-14</t>
  </si>
  <si>
    <t>7.24 x 4.76 x 3.08</t>
  </si>
  <si>
    <t>https://www.igi.org/reports/verify-your-report?r=551291810</t>
  </si>
  <si>
    <t>HN-134-24</t>
  </si>
  <si>
    <t>7.20 x 4.99 x 3.20</t>
  </si>
  <si>
    <t>https://www.igi.org/reports/verify-your-report?r=563201918</t>
  </si>
  <si>
    <t>HN-141-15</t>
  </si>
  <si>
    <t>7.11 x 4.72 x 3.23</t>
  </si>
  <si>
    <t>https://www.igi.org/reports/verify-your-report?r=571301008</t>
  </si>
  <si>
    <t>https://v360.in/diamondview.aspx?cid=preet&amp;d=HN-141-15</t>
  </si>
  <si>
    <t>HN-43-180</t>
  </si>
  <si>
    <t>6.98 x 4.82 x 3.25</t>
  </si>
  <si>
    <t>https://www.igi.org/reports/verify-your-report?r=524248720</t>
  </si>
  <si>
    <t>HN-148-11</t>
  </si>
  <si>
    <t>7.11 x 4.95 x 3.12</t>
  </si>
  <si>
    <t>https://www.igi.org/reports/verify-your-report?r=570376203</t>
  </si>
  <si>
    <t>HN-149-2</t>
  </si>
  <si>
    <t>7.44 x 4.75 x 3.11</t>
  </si>
  <si>
    <t>https://www.igi.org/reports/verify-your-report?r=570370817</t>
  </si>
  <si>
    <t>HN-150-16</t>
  </si>
  <si>
    <t>7.16 x 4.78 x 3.21</t>
  </si>
  <si>
    <t>https://www.igi.org/reports/verify-your-report?r=571307669</t>
  </si>
  <si>
    <t>https://v360.in/diamondview.aspx?cid=preet&amp;d=HN-150-16</t>
  </si>
  <si>
    <t>HN-141-13</t>
  </si>
  <si>
    <t>7.00 x 4.87 x 3.39</t>
  </si>
  <si>
    <t>https://www.igi.org/reports/verify-your-report?r=571301007</t>
  </si>
  <si>
    <t>https://v360.in/diamondview.aspx?cid=preet&amp;d=HN-141-13</t>
  </si>
  <si>
    <t>HN-40-105</t>
  </si>
  <si>
    <t>7.10 x 4.96 x 3.01</t>
  </si>
  <si>
    <t>https://www.igi.org/reports/verify-your-report?r=523298153</t>
  </si>
  <si>
    <t>HN-61-5</t>
  </si>
  <si>
    <t>6.91 x 4.83 x 3.06</t>
  </si>
  <si>
    <t>https://www.igi.org/reports/verify-your-report?r=483113110</t>
  </si>
  <si>
    <t>HN-129-18</t>
  </si>
  <si>
    <t>7.16 X 4.65 X 3.34</t>
  </si>
  <si>
    <t>https://www.igi.org/reports/verify-your-report?r=561259420</t>
  </si>
  <si>
    <t>HN-147-9</t>
  </si>
  <si>
    <t>7.04 x 4.78 x 3.06</t>
  </si>
  <si>
    <t>https://www.igi.org/reports/verify-your-report?r=570370822</t>
  </si>
  <si>
    <t>HN-39-135</t>
  </si>
  <si>
    <t>7.09 X 5.03 X 3.17</t>
  </si>
  <si>
    <t>https://www.igi.org/reports/verify-your-report?r=523279525</t>
  </si>
  <si>
    <t>HN-136-37</t>
  </si>
  <si>
    <t>7.30 x 4.92 x 3.15</t>
  </si>
  <si>
    <t>https://www.igi.org/reports/verify-your-report?r=567356395</t>
  </si>
  <si>
    <t>HN-137-13</t>
  </si>
  <si>
    <t>6.83 x 4.70 x 3.11</t>
  </si>
  <si>
    <t>https://www.igi.org/reports/verify-your-report?r=569328545</t>
  </si>
  <si>
    <t>HN-39-132</t>
  </si>
  <si>
    <t>6.48 X 4.61 X 3.39</t>
  </si>
  <si>
    <t>https://www.igi.org/reports/verify-your-report?r=523279526</t>
  </si>
  <si>
    <t>HN-97-54</t>
  </si>
  <si>
    <t>6.86 x 4.90 x 3.29</t>
  </si>
  <si>
    <t>https://www.igi.org/reports/verify-your-report?r=550231429</t>
  </si>
  <si>
    <t>HN-150-15</t>
  </si>
  <si>
    <t>6.96 x 4.66 x 3.15</t>
  </si>
  <si>
    <t>https://www.igi.org/reports/verify-your-report?r=571307668</t>
  </si>
  <si>
    <t>https://v360.in/diamondview.aspx?cid=preet&amp;d=HN-150-15</t>
  </si>
  <si>
    <t>HN-39-131</t>
  </si>
  <si>
    <t>6.80 x 4.62 x 3.17</t>
  </si>
  <si>
    <t>https://www.igi.org/reports/verify-your-report?r=522254623</t>
  </si>
  <si>
    <t>HN-79-41</t>
  </si>
  <si>
    <t>6.93 x 4.51 x 3.17</t>
  </si>
  <si>
    <t>https://www.igi.org/reports/verify-your-report?r=546203599</t>
  </si>
  <si>
    <t>HN-135-17</t>
  </si>
  <si>
    <t>6.74 x 4.84 x 3.27</t>
  </si>
  <si>
    <t>https://www.igi.org/reports/verify-your-report?r=566310894</t>
  </si>
  <si>
    <t>HN-37-60</t>
  </si>
  <si>
    <t>6.64 x 4.96 x 3.11</t>
  </si>
  <si>
    <t>https://www.igi.org/reports/verify-your-report?r=520291581</t>
  </si>
  <si>
    <t>HN-137-8</t>
  </si>
  <si>
    <t>6.61 x 4.72 x 3.28</t>
  </si>
  <si>
    <t>https://www.igi.org/reports/verify-your-report?r=569328541</t>
  </si>
  <si>
    <t>HN-39-139</t>
  </si>
  <si>
    <t>6.87 x 4.81 x 2.97</t>
  </si>
  <si>
    <t>https://www.igi.org/reports/verify-your-report?r=522254622</t>
  </si>
  <si>
    <t>HN-150-13</t>
  </si>
  <si>
    <t>6.87 x 4.88 x 3.22</t>
  </si>
  <si>
    <t>https://www.igi.org/reports/verify-your-report?r=571307667</t>
  </si>
  <si>
    <t>https://v360.in/diamondview.aspx?cid=preet&amp;d=HN-150-13</t>
  </si>
  <si>
    <t>HN-43-163</t>
  </si>
  <si>
    <t>6.98 x 4.85 x 2.91</t>
  </si>
  <si>
    <t>https://www.igi.org/reports/verify-your-report?r=526286726</t>
  </si>
  <si>
    <t>HN-127-23</t>
  </si>
  <si>
    <t>6.82 x 4.65 x 3.18</t>
  </si>
  <si>
    <t>https://www.igi.org/reports/verify-your-report?r=551214605</t>
  </si>
  <si>
    <t>HN-148-17</t>
  </si>
  <si>
    <t>7.07 x 4.66 x 3.03</t>
  </si>
  <si>
    <t>https://www.igi.org/reports/verify-your-report?r=570376194</t>
  </si>
  <si>
    <t>HN-149-1</t>
  </si>
  <si>
    <t>7.23 x 4.69 x 3.00</t>
  </si>
  <si>
    <t>https://www.igi.org/reports/verify-your-report?r=570370815</t>
  </si>
  <si>
    <t>HN-134-73</t>
  </si>
  <si>
    <t>6.97 x 4.65 x 2.96</t>
  </si>
  <si>
    <t>https://www.igi.org/reports/verify-your-report?r=564365287</t>
  </si>
  <si>
    <t>HN-136-39</t>
  </si>
  <si>
    <t>6.64 x 4.87 x 3.20</t>
  </si>
  <si>
    <t>https://www.igi.org/reports/verify-your-report?r=567356396</t>
  </si>
  <si>
    <t>HN-137-10</t>
  </si>
  <si>
    <t>7.01 x 4.67 x 3.14</t>
  </si>
  <si>
    <t>https://www.igi.org/reports/verify-your-report?r=569328543</t>
  </si>
  <si>
    <t>HN-130-100</t>
  </si>
  <si>
    <t>6.91 X 4.58 X 3.20</t>
  </si>
  <si>
    <t>https://www.igi.org/reports/verify-your-report?r=561278589</t>
  </si>
  <si>
    <t>HN-139-9</t>
  </si>
  <si>
    <t>7.03 X 4.68 X 3.06</t>
  </si>
  <si>
    <t>https://www.igi.org/reports/verify-your-report?r=566393780</t>
  </si>
  <si>
    <t>HN-87-108</t>
  </si>
  <si>
    <t>7.12 x 4.76 x 3.02</t>
  </si>
  <si>
    <t>https://www.igi.org/reports/verify-your-report?r=547266588</t>
  </si>
  <si>
    <t>HN-43-25</t>
  </si>
  <si>
    <t>6.47 x 4.76 x 3.44</t>
  </si>
  <si>
    <t>https://www.igi.org/reports/verify-your-report?r=524211505</t>
  </si>
  <si>
    <t>HN-135-16</t>
  </si>
  <si>
    <t>7.15 x 4.74 x 3.11</t>
  </si>
  <si>
    <t>https://www.igi.org/reports/verify-your-report?r=566393803</t>
  </si>
  <si>
    <t>HN-137-7</t>
  </si>
  <si>
    <t>7.11 x 4.59 x 3.01</t>
  </si>
  <si>
    <t>https://www.igi.org/reports/verify-your-report?r=569328540</t>
  </si>
  <si>
    <t>HN-40-117</t>
  </si>
  <si>
    <t>6.80 x 4.96 x 3.13</t>
  </si>
  <si>
    <t>https://www.igi.org/reports/verify-your-report?r=524248663</t>
  </si>
  <si>
    <t>HN-136-41</t>
  </si>
  <si>
    <t>6.53 x 4.69 x 3.09</t>
  </si>
  <si>
    <t>https://www.igi.org/reports/verify-your-report?r=567356401</t>
  </si>
  <si>
    <t>HN-136-42</t>
  </si>
  <si>
    <t>6.66 x 4.80 x 3.12</t>
  </si>
  <si>
    <t>https://www.igi.org/reports/verify-your-report?r=567356394</t>
  </si>
  <si>
    <t>HN-135-10</t>
  </si>
  <si>
    <t>6.94 x 4.52 x 3.18</t>
  </si>
  <si>
    <t>https://www.igi.org/reports/verify-your-report?r=566393781</t>
  </si>
  <si>
    <t>HN-127-43</t>
  </si>
  <si>
    <t>6.97 x 4.57 x 3.16</t>
  </si>
  <si>
    <t>https://www.igi.org/reports/verify-your-report?r=553217215</t>
  </si>
  <si>
    <t>HN-43-177</t>
  </si>
  <si>
    <t>6.90 x 4.69 x 2.95</t>
  </si>
  <si>
    <t>https://www.igi.org/reports/verify-your-report?r=524248666</t>
  </si>
  <si>
    <t>HN-97-51</t>
  </si>
  <si>
    <t>6.60 x 4.78 x 3.25</t>
  </si>
  <si>
    <t>https://www.igi.org/reports/verify-your-report?r=550231414</t>
  </si>
  <si>
    <t>HN-43-29</t>
  </si>
  <si>
    <t>6.50 x 4.81 x 3.15</t>
  </si>
  <si>
    <t>https://www.igi.org/reports/verify-your-report?r=524211506</t>
  </si>
  <si>
    <t>HN-142-26</t>
  </si>
  <si>
    <t>7.17 x 4.80 x 2.93</t>
  </si>
  <si>
    <t>https://www.igi.org/reports/verify-your-report?r=570376232</t>
  </si>
  <si>
    <t>HN-136-32</t>
  </si>
  <si>
    <t>6.69 x 4.80 x 3.25</t>
  </si>
  <si>
    <t>https://www.igi.org/reports/verify-your-report?r=567356399</t>
  </si>
  <si>
    <t>HN-136-38</t>
  </si>
  <si>
    <t>6.86 x 4.73 x 3.05</t>
  </si>
  <si>
    <t>https://www.igi.org/reports/verify-your-report?r=567356397</t>
  </si>
  <si>
    <t>HN-137-4</t>
  </si>
  <si>
    <t>6.86 x 4.73 x 3.31</t>
  </si>
  <si>
    <t>https://www.igi.org/reports/verify-your-report?r=569328538</t>
  </si>
  <si>
    <t>HN-148-18</t>
  </si>
  <si>
    <t>6.89 x 4.64 x 3.09</t>
  </si>
  <si>
    <t>https://www.igi.org/reports/verify-your-report?r=570376202</t>
  </si>
  <si>
    <t>HN-142-24</t>
  </si>
  <si>
    <t>7.04 x 4.69 x 3.14</t>
  </si>
  <si>
    <t>https://www.igi.org/reports/verify-your-report?r=570376231</t>
  </si>
  <si>
    <t>HN-134-74</t>
  </si>
  <si>
    <t>6.77 x 4.69 x 3.04</t>
  </si>
  <si>
    <t>https://www.igi.org/reports/verify-your-report?r=564365286</t>
  </si>
  <si>
    <t>HN-44-9</t>
  </si>
  <si>
    <t>6.63 x 4.62 x 3.28</t>
  </si>
  <si>
    <t>https://www.igi.org/reports/verify-your-report?r=528205263</t>
  </si>
  <si>
    <t>HN-86-76</t>
  </si>
  <si>
    <t>6.94 x 4.54 x 3.23</t>
  </si>
  <si>
    <t>https://www.igi.org/reports/verify-your-report?r=547248641</t>
  </si>
  <si>
    <t>HN-136-35</t>
  </si>
  <si>
    <t>7.13 x 4.69 x 2.91</t>
  </si>
  <si>
    <t>https://www.igi.org/reports/verify-your-report?r=567356400</t>
  </si>
  <si>
    <t>HN-135-41</t>
  </si>
  <si>
    <t>6.99 x 4.72 x 3.05</t>
  </si>
  <si>
    <t>https://www.igi.org/reports/verify-your-report?r=566393795</t>
  </si>
  <si>
    <t>HN-147-14</t>
  </si>
  <si>
    <t>6.78 x 4.84 x 3.08</t>
  </si>
  <si>
    <t>https://www.igi.org/reports/verify-your-report?r=570370836</t>
  </si>
  <si>
    <t>HN-40-115</t>
  </si>
  <si>
    <t>6.89 x 4.97 x 3.25</t>
  </si>
  <si>
    <t>https://www.igi.org/reports/verify-your-report?r=524248664</t>
  </si>
  <si>
    <t>HN-135-13</t>
  </si>
  <si>
    <t>6.97 x 4.80 x 3.23</t>
  </si>
  <si>
    <t>https://www.igi.org/reports/verify-your-report?r=566393802</t>
  </si>
  <si>
    <t>HN-8-58</t>
  </si>
  <si>
    <t>6.61 x 4.79 x 2.87</t>
  </si>
  <si>
    <t>https://www.igi.org/reports/verify-your-report?r=517289734</t>
  </si>
  <si>
    <t>HN-85-70</t>
  </si>
  <si>
    <t>6.44 x 4.70 x 3.19</t>
  </si>
  <si>
    <t>https://www.igi.org/reports/verify-your-report?r=544276932</t>
  </si>
  <si>
    <t>HN-150-12</t>
  </si>
  <si>
    <t>6.39 x 4.70 x 3.21</t>
  </si>
  <si>
    <t>https://www.igi.org/reports/verify-your-report?r=571307666</t>
  </si>
  <si>
    <t>https://v360.in/diamondview.aspx?cid=preet&amp;d=HN-150-12</t>
  </si>
  <si>
    <t>HN-81-164</t>
  </si>
  <si>
    <t>6.92 x 4.59 x 3.07</t>
  </si>
  <si>
    <t>https://www.igi.org/reports/verify-your-report?r=547265231</t>
  </si>
  <si>
    <t>HN-127-21</t>
  </si>
  <si>
    <t>6.87 x 4.62 x 3.21</t>
  </si>
  <si>
    <t>https://www.igi.org/reports/verify-your-report?r=553259911</t>
  </si>
  <si>
    <t>HN-135-12</t>
  </si>
  <si>
    <t>6.58 x 4.73 x 3.15</t>
  </si>
  <si>
    <t>https://www.igi.org/reports/verify-your-report?r=566393801</t>
  </si>
  <si>
    <t>HN-136-33</t>
  </si>
  <si>
    <t>6.87 x 4.78 x 3.21</t>
  </si>
  <si>
    <t>https://www.igi.org/reports/verify-your-report?r=567356393</t>
  </si>
  <si>
    <t>HN-128-37-B</t>
  </si>
  <si>
    <t>6.72 x 4.66 x 2.99</t>
  </si>
  <si>
    <t>https://www.igi.org/reports/verify-your-report?r=553217187</t>
  </si>
  <si>
    <t>HN-97-55</t>
  </si>
  <si>
    <t>6.38X4.74X3.18</t>
  </si>
  <si>
    <t>https://www.igi.org/reports/verify-your-report?r=550231412</t>
  </si>
  <si>
    <t>HN-136-34</t>
  </si>
  <si>
    <t>7.01 x 4.65 x 2.93</t>
  </si>
  <si>
    <t>https://www.igi.org/reports/verify-your-report?r=567356398</t>
  </si>
  <si>
    <t>HN-137-2</t>
  </si>
  <si>
    <t>6.73 x 4.64 x 3.04</t>
  </si>
  <si>
    <t>https://www.igi.org/reports/verify-your-report?r=569328536</t>
  </si>
  <si>
    <t>HN-137-3</t>
  </si>
  <si>
    <t>6.92 x 4.75 x 2.96</t>
  </si>
  <si>
    <t>https://www.igi.org/reports/verify-your-report?r=569328537</t>
  </si>
  <si>
    <t>HN-137-5</t>
  </si>
  <si>
    <t>7.03 x 4.78 x 2.91</t>
  </si>
  <si>
    <t>https://www.igi.org/reports/verify-your-report?r=569328539</t>
  </si>
  <si>
    <t>HN-141-7</t>
  </si>
  <si>
    <t>7.04 x 4.69 x 3.09</t>
  </si>
  <si>
    <t>https://www.igi.org/reports/verify-your-report?r=571301023</t>
  </si>
  <si>
    <t>https://v360.in/diamondview.aspx?cid=preet&amp;d=HN-141-7</t>
  </si>
  <si>
    <t>HN-85-135</t>
  </si>
  <si>
    <t>6.65 x 4.70 x 3.30</t>
  </si>
  <si>
    <t>https://www.igi.org/reports/verify-your-report?r=544276935</t>
  </si>
  <si>
    <t>HN-47</t>
  </si>
  <si>
    <t>6.36 x 4.84 x 3.17</t>
  </si>
  <si>
    <t>https://www.igi.org/reports/verify-your-report?r=483113114</t>
  </si>
  <si>
    <t>HN-136-36</t>
  </si>
  <si>
    <t>6.84 x 4.87 x 3.05</t>
  </si>
  <si>
    <t>https://www.igi.org/reports/verify-your-report?r=567356445</t>
  </si>
  <si>
    <t>HN-81-161</t>
  </si>
  <si>
    <t>6.76 x 4.60 x 3.19</t>
  </si>
  <si>
    <t>https://www.igi.org/reports/verify-your-report?r=547265230</t>
  </si>
  <si>
    <t>HN-147-8</t>
  </si>
  <si>
    <t>6.81 x 4.74 x 3.02</t>
  </si>
  <si>
    <t>https://www.igi.org/reports/verify-your-report?r=570370837</t>
  </si>
  <si>
    <t>HN-39-138</t>
  </si>
  <si>
    <t>6.80 x 4.61 x 2.95</t>
  </si>
  <si>
    <t>https://www.igi.org/reports/verify-your-report?r=522224994</t>
  </si>
  <si>
    <t>HN-39-140</t>
  </si>
  <si>
    <t>6.51 x 4.59 x 3.21</t>
  </si>
  <si>
    <t>https://www.igi.org/reports/verify-your-report?r=522224995</t>
  </si>
  <si>
    <t>HN-43-164</t>
  </si>
  <si>
    <t>6.86 x 4.71 x 3.08</t>
  </si>
  <si>
    <t>https://www.igi.org/reports/verify-your-report?r=526286721</t>
  </si>
  <si>
    <t>HN-86-73</t>
  </si>
  <si>
    <t>6.71 x 4.57 x 2.89</t>
  </si>
  <si>
    <t>https://www.igi.org/reports/verify-your-report?r=547248635</t>
  </si>
  <si>
    <t>HN-26</t>
  </si>
  <si>
    <t>6.73 x 4.53 x 3.13</t>
  </si>
  <si>
    <t>https://www.igi.org/reports/verify-your-report?r=464109437</t>
  </si>
  <si>
    <t>HN-43-178</t>
  </si>
  <si>
    <t>6.74 x 4.63 x 2.94</t>
  </si>
  <si>
    <t>https://www.igi.org/reports/verify-your-report?r=524248595</t>
  </si>
  <si>
    <t>HN-2-1</t>
  </si>
  <si>
    <t>6.18 x 4.68 x 3.17</t>
  </si>
  <si>
    <t>https://www.igi.org/reports/verify-your-report?r=483112998</t>
  </si>
  <si>
    <t>HN-39-133</t>
  </si>
  <si>
    <t>6.28 x 4.67 x 3.29</t>
  </si>
  <si>
    <t>https://www.igi.org/reports/verify-your-report?r=522224996</t>
  </si>
  <si>
    <t>HN-40-113</t>
  </si>
  <si>
    <t>6.57 X 4.52 X 3.17</t>
  </si>
  <si>
    <t>https://www.igi.org/reports/verify-your-report?r=526286011</t>
  </si>
  <si>
    <t>HN-100-23</t>
  </si>
  <si>
    <t>6.53 x 4.57 x 3.05</t>
  </si>
  <si>
    <t>https://www.igi.org/reports/verify-your-report?r=496107141</t>
  </si>
  <si>
    <t>HN-39-127</t>
  </si>
  <si>
    <t>6.36 X 4.55 X 3.22</t>
  </si>
  <si>
    <t>https://www.igi.org/reports/verify-your-report?r=522254621</t>
  </si>
  <si>
    <t>HN-100-38</t>
  </si>
  <si>
    <t>6.31 X 4.51 X 3.12</t>
  </si>
  <si>
    <t>https://www.igi.org/reports/verify-your-report?r=497181934</t>
  </si>
  <si>
    <t>HN-40-111</t>
  </si>
  <si>
    <t>6.64 X 4.56 X 2.81</t>
  </si>
  <si>
    <t>https://www.igi.org/reports/verify-your-report?r=526286010</t>
  </si>
  <si>
    <t>HN-43-34</t>
  </si>
  <si>
    <t>6.53 X 4.52 X 2.92</t>
  </si>
  <si>
    <t>https://www.igi.org/reports/verify-your-report?r=524211529</t>
  </si>
  <si>
    <t>HN-77-54</t>
  </si>
  <si>
    <t>6.50 X 4.57 X 2.87</t>
  </si>
  <si>
    <t>https://www.igi.org/reports/verify-your-report?r=496107007</t>
  </si>
  <si>
    <t>HN-43-173</t>
  </si>
  <si>
    <t>6.98 X 4.78 X 2.82</t>
  </si>
  <si>
    <t>https://www.igi.org/reports/verify-your-report?r=524248594</t>
  </si>
  <si>
    <t>HN-40-118</t>
  </si>
  <si>
    <t>6.43 X 4.52 X 3.01</t>
  </si>
  <si>
    <t>https://www.igi.org/reports/verify-your-report?r=524248591</t>
  </si>
  <si>
    <t>HN-64-28</t>
  </si>
  <si>
    <t>6.61 x 4.48 x 2.90</t>
  </si>
  <si>
    <t>https://www.igi.org/reports/verify-your-report?r=537239406</t>
  </si>
  <si>
    <t>HN-44-125</t>
  </si>
  <si>
    <t>6.21 X 4.45 X 3.11</t>
  </si>
  <si>
    <t>https://www.igi.org/reports/verify-your-report?r=529266444</t>
  </si>
  <si>
    <t>HN-87-110</t>
  </si>
  <si>
    <t>6.35 X 4.52 X 2.96</t>
  </si>
  <si>
    <t>https://www.igi.org/reports/verify-your-report?r=547266576</t>
  </si>
  <si>
    <t>HN-86-74</t>
  </si>
  <si>
    <t>6.47 X 4.35 X 2.82</t>
  </si>
  <si>
    <t>https://www.igi.org/reports/verify-your-report?r=547248636</t>
  </si>
  <si>
    <t>HN-4</t>
  </si>
  <si>
    <t>6.41 X 4.58 X 3.07</t>
  </si>
  <si>
    <t>https://www.igi.org/reports/verify-your-report?r=547265173</t>
  </si>
  <si>
    <t>HN-102-74</t>
  </si>
  <si>
    <t>6.32 X 4.43 X 3.00</t>
  </si>
  <si>
    <t>https://www.igi.org/reports/verify-your-report?r=497182212</t>
  </si>
  <si>
    <t>HN-44-37</t>
  </si>
  <si>
    <t>6.43 X 4.60 X 2.81</t>
  </si>
  <si>
    <t>https://www.igi.org/reports/verify-your-report?r=529266448</t>
  </si>
  <si>
    <t>HN-102-169</t>
  </si>
  <si>
    <t>6.19 X 4.66 X 2.97</t>
  </si>
  <si>
    <t>https://www.igi.org/reports/verify-your-report?r=497182213</t>
  </si>
  <si>
    <t>HN-81-166</t>
  </si>
  <si>
    <t>6.40 X 4.37 X 2.75</t>
  </si>
  <si>
    <t>https://www.igi.org/reports/verify-your-report?r=547265174</t>
  </si>
  <si>
    <t>HN-40-82</t>
  </si>
  <si>
    <t>6.20 x 4.41 x 2.99</t>
  </si>
  <si>
    <t>https://www.igi.org/reports/verify-your-report?r=524248592</t>
  </si>
  <si>
    <t>HN-85-74</t>
  </si>
  <si>
    <t>6.43 X 4.30 X 2.79</t>
  </si>
  <si>
    <t>https://www.igi.org/reports/verify-your-report?r=544276929</t>
  </si>
  <si>
    <t>HN-52-59-A</t>
  </si>
  <si>
    <t>6.10 X 4.19 X 2.82</t>
  </si>
  <si>
    <t>https://www.igi.org/reports/verify-your-report?r=522253988</t>
  </si>
  <si>
    <t>HN-1R</t>
  </si>
  <si>
    <t>BAGUETTE</t>
  </si>
  <si>
    <t>7.21 x 4.47 x 3.23</t>
  </si>
  <si>
    <t>https://www.igi.org/reports/verify-your-report?r=488147309</t>
  </si>
  <si>
    <t>HN-35</t>
  </si>
  <si>
    <t>7.95 x 3.97 x 2.81</t>
  </si>
  <si>
    <t>https://www.igi.org/reports/verify-your-report?r=464180803</t>
  </si>
  <si>
    <t>HN-21</t>
  </si>
  <si>
    <t>ASSCHER</t>
  </si>
  <si>
    <t>6.75 x 6.57 x 4.46</t>
  </si>
  <si>
    <t>https://www.igi.org/reports/verify-your-report?r=464109428</t>
  </si>
  <si>
    <t>HN20</t>
  </si>
  <si>
    <t>5.91 x 5.65 x 3.50</t>
  </si>
  <si>
    <t>https://www.igi.org/reports/verify-your-report?r=464180802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</si>
</sst>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</numFmts>
  <fonts count="23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u/>
      <sz val="12"/>
      <color rgb="FF0563C1"/>
      <name val="Calibri"/>
      <charset val="134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19" borderId="6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9" borderId="11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9" borderId="6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2" xfId="7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0" fontId="1" fillId="0" borderId="3" xfId="0" applyNumberFormat="1" applyFont="1" applyBorder="1" applyAlignment="1">
      <alignment horizontal="center" vertical="center"/>
    </xf>
    <xf numFmtId="0" fontId="3" fillId="0" borderId="4" xfId="7" applyFont="1" applyFill="1" applyBorder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551"/>
  <sheetViews>
    <sheetView tabSelected="1" workbookViewId="0">
      <selection activeCell="V2" sqref="V2"/>
    </sheetView>
  </sheetViews>
  <sheetFormatPr defaultColWidth="9.16190476190476" defaultRowHeight="15"/>
  <cols>
    <col min="1" max="1" width="12.1619047619048" customWidth="1"/>
    <col min="12" max="12" width="15.5047619047619" customWidth="1"/>
    <col min="14" max="14" width="10.1619047619048" customWidth="1"/>
    <col min="16" max="16" width="14" customWidth="1"/>
    <col min="17" max="17" width="11" customWidth="1"/>
    <col min="18" max="18" width="11.8285714285714" customWidth="1"/>
    <col min="19" max="19" width="11" customWidth="1"/>
    <col min="20" max="20" width="11.5047619047619" customWidth="1"/>
    <col min="21" max="21" width="21.8285714285714" customWidth="1"/>
    <col min="52" max="52" width="53.8285714285714" customWidth="1"/>
    <col min="53" max="53" width="12.8285714285714" customWidth="1"/>
    <col min="54" max="54" width="81" customWidth="1"/>
  </cols>
  <sheetData>
    <row r="1" spans="1:6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</row>
    <row r="2" ht="15.75" spans="1:54">
      <c r="A2" s="2" t="s">
        <v>62</v>
      </c>
      <c r="B2" s="3" t="s">
        <v>63</v>
      </c>
      <c r="C2" s="2" t="s">
        <v>64</v>
      </c>
      <c r="D2" s="2">
        <v>2</v>
      </c>
      <c r="E2" s="2" t="s">
        <v>65</v>
      </c>
      <c r="F2" s="2" t="s">
        <v>66</v>
      </c>
      <c r="G2" s="2" t="s">
        <v>67</v>
      </c>
      <c r="H2" s="2" t="s">
        <v>68</v>
      </c>
      <c r="I2" s="2" t="s">
        <v>69</v>
      </c>
      <c r="J2" s="2" t="s">
        <v>70</v>
      </c>
      <c r="L2" s="2" t="s">
        <v>71</v>
      </c>
      <c r="O2" t="s">
        <v>72</v>
      </c>
      <c r="P2" s="2">
        <v>553217214</v>
      </c>
      <c r="R2" s="2">
        <v>15500</v>
      </c>
      <c r="S2" s="4">
        <f>R2*D2</f>
        <v>31000</v>
      </c>
      <c r="T2" s="4">
        <v>-97</v>
      </c>
      <c r="U2" s="4">
        <f>(R2+(R2*T2)/100)*D2</f>
        <v>930</v>
      </c>
      <c r="V2" s="5">
        <v>0.659</v>
      </c>
      <c r="W2" s="6">
        <v>0.74</v>
      </c>
      <c r="AU2" s="3" t="s">
        <v>73</v>
      </c>
      <c r="AW2" s="2" t="s">
        <v>74</v>
      </c>
      <c r="AZ2" t="s">
        <v>75</v>
      </c>
      <c r="BB2" s="7" t="str">
        <f>HYPERLINK("HTTPS://V360.IN/DIAMONDVIEW.ASPX?CID=PREET&amp;D=HN-127-3","HTTPS://V360.IN/DIAMONDVIEW.ASPX?CID=PREET&amp;D=HN-127-3")</f>
        <v>HTTPS://V360.IN/DIAMONDVIEW.ASPX?CID=PREET&amp;D=HN-127-3</v>
      </c>
    </row>
    <row r="3" ht="15.75" spans="1:54">
      <c r="A3" s="2" t="s">
        <v>76</v>
      </c>
      <c r="B3" s="3" t="s">
        <v>63</v>
      </c>
      <c r="C3" s="2" t="s">
        <v>77</v>
      </c>
      <c r="D3" s="2">
        <v>3.01</v>
      </c>
      <c r="E3" s="2" t="s">
        <v>63</v>
      </c>
      <c r="F3" s="2" t="s">
        <v>66</v>
      </c>
      <c r="G3" s="2" t="s">
        <v>67</v>
      </c>
      <c r="H3" s="2" t="s">
        <v>68</v>
      </c>
      <c r="I3" s="2" t="s">
        <v>68</v>
      </c>
      <c r="J3" s="2" t="s">
        <v>70</v>
      </c>
      <c r="L3" s="2" t="s">
        <v>78</v>
      </c>
      <c r="O3" t="s">
        <v>72</v>
      </c>
      <c r="P3" s="2">
        <v>553259923</v>
      </c>
      <c r="R3" s="2">
        <v>20500</v>
      </c>
      <c r="S3" s="4">
        <f t="shared" ref="S3:S66" si="0">R3*D3</f>
        <v>61705</v>
      </c>
      <c r="T3" s="4">
        <v>-97</v>
      </c>
      <c r="U3" s="4">
        <f t="shared" ref="U3:U66" si="1">(R3+(R3*T3)/100)*D3</f>
        <v>1851.15</v>
      </c>
      <c r="V3" s="5">
        <v>0.649</v>
      </c>
      <c r="W3" s="6">
        <v>0.64</v>
      </c>
      <c r="AU3" s="3" t="s">
        <v>73</v>
      </c>
      <c r="AW3" s="2" t="s">
        <v>74</v>
      </c>
      <c r="AZ3" t="s">
        <v>79</v>
      </c>
      <c r="BB3" s="7" t="str">
        <f>HYPERLINK("https://v360.in/diamondview.aspx?cid=preet&amp;d=HN-128-03","https://v360.in/diamondview.aspx?cid=preet&amp;d=HN-128-03")</f>
        <v>https://v360.in/diamondview.aspx?cid=preet&amp;d=HN-128-03</v>
      </c>
    </row>
    <row r="4" ht="15.75" spans="1:54">
      <c r="A4" s="2" t="s">
        <v>80</v>
      </c>
      <c r="B4" s="3" t="s">
        <v>63</v>
      </c>
      <c r="C4" s="2" t="s">
        <v>77</v>
      </c>
      <c r="D4" s="2">
        <v>2.64</v>
      </c>
      <c r="E4" s="2" t="s">
        <v>81</v>
      </c>
      <c r="F4" s="2" t="s">
        <v>66</v>
      </c>
      <c r="G4" s="2" t="s">
        <v>67</v>
      </c>
      <c r="H4" s="2" t="s">
        <v>68</v>
      </c>
      <c r="I4" s="2" t="s">
        <v>68</v>
      </c>
      <c r="J4" s="2" t="s">
        <v>70</v>
      </c>
      <c r="L4" s="2" t="s">
        <v>82</v>
      </c>
      <c r="O4" t="s">
        <v>72</v>
      </c>
      <c r="P4" s="2">
        <v>553259831</v>
      </c>
      <c r="R4" s="2">
        <v>12000</v>
      </c>
      <c r="S4" s="4">
        <f t="shared" si="0"/>
        <v>31680</v>
      </c>
      <c r="T4" s="4">
        <v>-97</v>
      </c>
      <c r="U4" s="4">
        <f t="shared" si="1"/>
        <v>950.4</v>
      </c>
      <c r="V4" s="5">
        <v>0.667</v>
      </c>
      <c r="W4" s="6">
        <v>0.63</v>
      </c>
      <c r="AU4" s="3" t="s">
        <v>73</v>
      </c>
      <c r="AW4" s="2" t="s">
        <v>74</v>
      </c>
      <c r="AZ4" t="s">
        <v>83</v>
      </c>
      <c r="BB4" s="7" t="str">
        <f>HYPERLINK("https://v360.in/diamondview.aspx?cid=preet&amp;d=HN-128-07","https://v360.in/diamondview.aspx?cid=preet&amp;d=HN-128-07")</f>
        <v>https://v360.in/diamondview.aspx?cid=preet&amp;d=HN-128-07</v>
      </c>
    </row>
    <row r="5" ht="15.75" spans="1:54">
      <c r="A5" s="2" t="s">
        <v>84</v>
      </c>
      <c r="B5" s="3" t="s">
        <v>63</v>
      </c>
      <c r="C5" s="2" t="s">
        <v>77</v>
      </c>
      <c r="D5" s="2">
        <v>2.01</v>
      </c>
      <c r="E5" s="2" t="s">
        <v>81</v>
      </c>
      <c r="F5" s="2" t="s">
        <v>66</v>
      </c>
      <c r="G5" s="2" t="s">
        <v>67</v>
      </c>
      <c r="H5" s="2" t="s">
        <v>68</v>
      </c>
      <c r="I5" s="2" t="s">
        <v>68</v>
      </c>
      <c r="J5" s="2" t="s">
        <v>70</v>
      </c>
      <c r="L5" s="2" t="s">
        <v>85</v>
      </c>
      <c r="O5" t="s">
        <v>72</v>
      </c>
      <c r="P5" s="2">
        <v>550231419</v>
      </c>
      <c r="R5" s="2">
        <v>12000</v>
      </c>
      <c r="S5" s="4">
        <f t="shared" si="0"/>
        <v>24120</v>
      </c>
      <c r="T5" s="4">
        <v>-97</v>
      </c>
      <c r="U5" s="4">
        <f t="shared" si="1"/>
        <v>723.6</v>
      </c>
      <c r="V5" s="2">
        <v>68</v>
      </c>
      <c r="W5" s="2">
        <v>75</v>
      </c>
      <c r="AU5" s="3" t="s">
        <v>73</v>
      </c>
      <c r="AW5" s="2" t="s">
        <v>74</v>
      </c>
      <c r="AZ5" t="s">
        <v>86</v>
      </c>
      <c r="BB5" s="7" t="str">
        <f>HYPERLINK("https://v360.in/diamondview.aspx?cid=preet&amp;d=HN-97-50","https://v360.in/diamondview.aspx?cid=preet&amp;d=HN-97-50")</f>
        <v>https://v360.in/diamondview.aspx?cid=preet&amp;d=HN-97-50</v>
      </c>
    </row>
    <row r="6" ht="15.75" spans="1:54">
      <c r="A6" s="2" t="s">
        <v>87</v>
      </c>
      <c r="B6" s="3" t="s">
        <v>63</v>
      </c>
      <c r="C6" s="2" t="s">
        <v>77</v>
      </c>
      <c r="D6" s="2">
        <v>1.81</v>
      </c>
      <c r="E6" s="2" t="s">
        <v>81</v>
      </c>
      <c r="F6" s="2" t="s">
        <v>66</v>
      </c>
      <c r="G6" s="2" t="s">
        <v>67</v>
      </c>
      <c r="H6" s="2" t="s">
        <v>68</v>
      </c>
      <c r="I6" s="2" t="s">
        <v>68</v>
      </c>
      <c r="J6" s="2" t="s">
        <v>70</v>
      </c>
      <c r="L6" s="2" t="s">
        <v>88</v>
      </c>
      <c r="O6" t="s">
        <v>72</v>
      </c>
      <c r="P6" s="2">
        <v>550231418</v>
      </c>
      <c r="R6" s="2">
        <v>9100</v>
      </c>
      <c r="S6" s="4">
        <f t="shared" si="0"/>
        <v>16471</v>
      </c>
      <c r="T6" s="4">
        <v>-97</v>
      </c>
      <c r="U6" s="4">
        <f t="shared" si="1"/>
        <v>494.13</v>
      </c>
      <c r="V6" s="2">
        <v>64.4</v>
      </c>
      <c r="W6" s="2">
        <v>62</v>
      </c>
      <c r="AU6" s="3" t="s">
        <v>73</v>
      </c>
      <c r="AW6" s="2" t="s">
        <v>74</v>
      </c>
      <c r="AZ6" t="s">
        <v>89</v>
      </c>
      <c r="BB6" s="7" t="str">
        <f>HYPERLINK("https://v360.in/diamondview.aspx?cid=preet&amp;d=HN-97-49","https://v360.in/diamondview.aspx?cid=preet&amp;d=HN-97-49")</f>
        <v>https://v360.in/diamondview.aspx?cid=preet&amp;d=HN-97-49</v>
      </c>
    </row>
    <row r="7" ht="15.75" spans="1:54">
      <c r="A7" s="2" t="s">
        <v>90</v>
      </c>
      <c r="B7" s="3" t="s">
        <v>63</v>
      </c>
      <c r="C7" s="2" t="s">
        <v>77</v>
      </c>
      <c r="D7" s="2">
        <v>1.03</v>
      </c>
      <c r="E7" s="2" t="s">
        <v>65</v>
      </c>
      <c r="F7" s="2" t="s">
        <v>91</v>
      </c>
      <c r="G7" s="2" t="s">
        <v>67</v>
      </c>
      <c r="H7" s="2" t="s">
        <v>68</v>
      </c>
      <c r="I7" s="2" t="s">
        <v>68</v>
      </c>
      <c r="J7" s="2" t="s">
        <v>70</v>
      </c>
      <c r="L7" s="2" t="s">
        <v>92</v>
      </c>
      <c r="O7" t="s">
        <v>72</v>
      </c>
      <c r="P7" s="2">
        <v>570376195</v>
      </c>
      <c r="R7" s="2">
        <v>7500</v>
      </c>
      <c r="S7" s="4">
        <f t="shared" si="0"/>
        <v>7725</v>
      </c>
      <c r="T7" s="4">
        <v>-97</v>
      </c>
      <c r="U7" s="4">
        <f t="shared" si="1"/>
        <v>231.75</v>
      </c>
      <c r="V7" s="5">
        <v>0.642</v>
      </c>
      <c r="W7" s="5">
        <v>0.685</v>
      </c>
      <c r="AU7" s="3" t="s">
        <v>73</v>
      </c>
      <c r="AW7" s="2" t="s">
        <v>93</v>
      </c>
      <c r="AZ7" t="s">
        <v>94</v>
      </c>
      <c r="BB7" s="7" t="str">
        <f>HYPERLINK("https://v360.in/diamondview.aspx?cid=preet&amp;d=HN-148-20","https://v360.in/diamondview.aspx?cid=preet&amp;d=HN-148-20")</f>
        <v>https://v360.in/diamondview.aspx?cid=preet&amp;d=HN-148-20</v>
      </c>
    </row>
    <row r="8" ht="15.75" spans="1:54">
      <c r="A8" s="2" t="s">
        <v>95</v>
      </c>
      <c r="B8" s="3" t="s">
        <v>63</v>
      </c>
      <c r="C8" s="2" t="s">
        <v>77</v>
      </c>
      <c r="D8" s="2">
        <v>1</v>
      </c>
      <c r="E8" s="2" t="s">
        <v>65</v>
      </c>
      <c r="F8" s="2" t="s">
        <v>66</v>
      </c>
      <c r="G8" s="2" t="s">
        <v>67</v>
      </c>
      <c r="H8" s="2" t="s">
        <v>68</v>
      </c>
      <c r="I8" s="2" t="s">
        <v>96</v>
      </c>
      <c r="J8" s="2" t="s">
        <v>70</v>
      </c>
      <c r="L8" s="2" t="s">
        <v>97</v>
      </c>
      <c r="O8" t="s">
        <v>72</v>
      </c>
      <c r="P8" s="2">
        <v>560231273</v>
      </c>
      <c r="R8" s="2">
        <v>6900</v>
      </c>
      <c r="S8" s="4">
        <f t="shared" si="0"/>
        <v>6900</v>
      </c>
      <c r="T8" s="4">
        <v>-97</v>
      </c>
      <c r="U8" s="4">
        <f t="shared" si="1"/>
        <v>207</v>
      </c>
      <c r="V8" s="5">
        <v>0.667</v>
      </c>
      <c r="W8" s="5">
        <v>0.615</v>
      </c>
      <c r="AU8" s="3" t="s">
        <v>73</v>
      </c>
      <c r="AW8" s="2" t="s">
        <v>74</v>
      </c>
      <c r="AZ8" t="s">
        <v>98</v>
      </c>
      <c r="BB8" s="7" t="str">
        <f>HYPERLINK("https://v360.in/diamondview.aspx?cid=preet&amp;d=HN-129-16","https://v360.in/diamondview.aspx?cid=preet&amp;d=HN-129-16")</f>
        <v>https://v360.in/diamondview.aspx?cid=preet&amp;d=HN-129-16</v>
      </c>
    </row>
    <row r="9" ht="15.75" spans="1:54">
      <c r="A9" s="2" t="s">
        <v>99</v>
      </c>
      <c r="B9" s="3" t="s">
        <v>63</v>
      </c>
      <c r="C9" s="2" t="s">
        <v>77</v>
      </c>
      <c r="D9" s="2">
        <v>1</v>
      </c>
      <c r="E9" s="2" t="s">
        <v>63</v>
      </c>
      <c r="F9" s="2" t="s">
        <v>66</v>
      </c>
      <c r="G9" s="2" t="s">
        <v>67</v>
      </c>
      <c r="H9" s="2" t="s">
        <v>68</v>
      </c>
      <c r="I9" s="2" t="s">
        <v>68</v>
      </c>
      <c r="J9" s="2" t="s">
        <v>70</v>
      </c>
      <c r="L9" s="2" t="s">
        <v>100</v>
      </c>
      <c r="O9" t="s">
        <v>72</v>
      </c>
      <c r="P9" s="2">
        <v>550231417</v>
      </c>
      <c r="R9" s="2">
        <v>6600</v>
      </c>
      <c r="S9" s="4">
        <f t="shared" si="0"/>
        <v>6600</v>
      </c>
      <c r="T9" s="4">
        <v>-97</v>
      </c>
      <c r="U9" s="4">
        <f t="shared" si="1"/>
        <v>198</v>
      </c>
      <c r="V9" s="2">
        <v>69.2</v>
      </c>
      <c r="W9" s="2">
        <v>71.5</v>
      </c>
      <c r="AU9" s="3" t="s">
        <v>73</v>
      </c>
      <c r="AW9" s="2" t="s">
        <v>74</v>
      </c>
      <c r="AZ9" t="s">
        <v>101</v>
      </c>
      <c r="BB9" s="7" t="str">
        <f>HYPERLINK("https://v360.in/diamondview.aspx?cid=preet&amp;d=HN-97-47","https://v360.in/diamondview.aspx?cid=preet&amp;d=HN-97-47")</f>
        <v>https://v360.in/diamondview.aspx?cid=preet&amp;d=HN-97-47</v>
      </c>
    </row>
    <row r="10" ht="15.75" spans="1:54">
      <c r="A10" s="2" t="s">
        <v>102</v>
      </c>
      <c r="B10" s="3" t="s">
        <v>63</v>
      </c>
      <c r="C10" s="2" t="s">
        <v>103</v>
      </c>
      <c r="D10" s="2">
        <v>2.41</v>
      </c>
      <c r="E10" s="2" t="s">
        <v>81</v>
      </c>
      <c r="F10" s="2" t="s">
        <v>91</v>
      </c>
      <c r="G10" s="2" t="s">
        <v>67</v>
      </c>
      <c r="H10" s="2" t="s">
        <v>68</v>
      </c>
      <c r="I10" s="2" t="s">
        <v>68</v>
      </c>
      <c r="J10" s="2" t="s">
        <v>70</v>
      </c>
      <c r="L10" s="2" t="s">
        <v>104</v>
      </c>
      <c r="O10" t="s">
        <v>72</v>
      </c>
      <c r="P10" s="2">
        <v>547256648</v>
      </c>
      <c r="R10" s="2">
        <v>13000</v>
      </c>
      <c r="S10" s="4">
        <f t="shared" si="0"/>
        <v>31330</v>
      </c>
      <c r="T10" s="4">
        <v>-97</v>
      </c>
      <c r="U10" s="4">
        <f t="shared" si="1"/>
        <v>939.9</v>
      </c>
      <c r="V10" s="2">
        <v>66.9</v>
      </c>
      <c r="W10" s="2">
        <v>68.5</v>
      </c>
      <c r="AU10" s="3" t="s">
        <v>73</v>
      </c>
      <c r="AW10" s="2" t="s">
        <v>74</v>
      </c>
      <c r="AZ10" t="s">
        <v>105</v>
      </c>
      <c r="BB10" s="7" t="str">
        <f>HYPERLINK("https://v360.in/diamondview.aspx?cid=meet&amp;d=HN-87-2","https://v360.in/diamondview.aspx?cid=meet&amp;d=HN-87-2")</f>
        <v>https://v360.in/diamondview.aspx?cid=meet&amp;d=HN-87-2</v>
      </c>
    </row>
    <row r="11" ht="15.75" spans="1:54">
      <c r="A11" s="2" t="s">
        <v>106</v>
      </c>
      <c r="B11" s="3" t="s">
        <v>63</v>
      </c>
      <c r="C11" s="2" t="s">
        <v>107</v>
      </c>
      <c r="D11" s="2">
        <v>3.02</v>
      </c>
      <c r="E11" s="2" t="s">
        <v>65</v>
      </c>
      <c r="F11" s="2" t="s">
        <v>91</v>
      </c>
      <c r="G11" s="2" t="s">
        <v>68</v>
      </c>
      <c r="H11" s="2" t="s">
        <v>68</v>
      </c>
      <c r="I11" s="2" t="s">
        <v>68</v>
      </c>
      <c r="J11" s="2" t="s">
        <v>70</v>
      </c>
      <c r="L11" s="2" t="s">
        <v>108</v>
      </c>
      <c r="O11" t="s">
        <v>72</v>
      </c>
      <c r="P11" s="2">
        <v>520291603</v>
      </c>
      <c r="R11" s="2">
        <v>32500</v>
      </c>
      <c r="S11" s="4">
        <f t="shared" si="0"/>
        <v>98150</v>
      </c>
      <c r="T11" s="4">
        <v>-97</v>
      </c>
      <c r="U11" s="4">
        <f t="shared" si="1"/>
        <v>2944.5</v>
      </c>
      <c r="V11" s="5">
        <v>0.623</v>
      </c>
      <c r="W11" s="2">
        <v>56</v>
      </c>
      <c r="AU11" s="3" t="s">
        <v>73</v>
      </c>
      <c r="AW11" s="2" t="s">
        <v>74</v>
      </c>
      <c r="AZ11" t="s">
        <v>109</v>
      </c>
      <c r="BB11" s="7" t="str">
        <f>HYPERLINK("HTTPS://V360.IN/DIAMONDVIEW.ASPX?CID=MEET&amp;D=HN-52-6","HTTPS://V360.IN/DIAMONDVIEW.ASPX?CID=MEET&amp;D=HN-52-6")</f>
        <v>HTTPS://V360.IN/DIAMONDVIEW.ASPX?CID=MEET&amp;D=HN-52-6</v>
      </c>
    </row>
    <row r="12" ht="15.75" spans="1:54">
      <c r="A12" s="2" t="s">
        <v>110</v>
      </c>
      <c r="B12" s="3" t="s">
        <v>63</v>
      </c>
      <c r="C12" s="2" t="s">
        <v>107</v>
      </c>
      <c r="D12" s="2">
        <v>2.72</v>
      </c>
      <c r="E12" s="2" t="s">
        <v>63</v>
      </c>
      <c r="F12" s="2" t="s">
        <v>91</v>
      </c>
      <c r="G12" s="2" t="s">
        <v>68</v>
      </c>
      <c r="H12" s="2" t="s">
        <v>68</v>
      </c>
      <c r="I12" s="2" t="s">
        <v>68</v>
      </c>
      <c r="J12" s="2" t="s">
        <v>70</v>
      </c>
      <c r="L12" s="2" t="s">
        <v>111</v>
      </c>
      <c r="O12" t="s">
        <v>72</v>
      </c>
      <c r="P12" s="2">
        <v>570376221</v>
      </c>
      <c r="R12" s="2">
        <v>19000</v>
      </c>
      <c r="S12" s="4">
        <f t="shared" si="0"/>
        <v>51680</v>
      </c>
      <c r="T12" s="4">
        <v>-97</v>
      </c>
      <c r="U12" s="4">
        <f t="shared" si="1"/>
        <v>1550.4</v>
      </c>
      <c r="V12" s="5">
        <v>0.593</v>
      </c>
      <c r="W12" s="5">
        <v>0.625</v>
      </c>
      <c r="AU12" s="3" t="s">
        <v>73</v>
      </c>
      <c r="AW12" s="2" t="s">
        <v>93</v>
      </c>
      <c r="AZ12" t="s">
        <v>112</v>
      </c>
      <c r="BB12" s="7" t="s">
        <v>113</v>
      </c>
    </row>
    <row r="13" ht="15.75" spans="1:54">
      <c r="A13" s="2" t="s">
        <v>114</v>
      </c>
      <c r="B13" s="3" t="s">
        <v>63</v>
      </c>
      <c r="C13" s="2" t="s">
        <v>107</v>
      </c>
      <c r="D13" s="2">
        <v>2.52</v>
      </c>
      <c r="E13" s="2" t="s">
        <v>63</v>
      </c>
      <c r="F13" s="2" t="s">
        <v>91</v>
      </c>
      <c r="G13" s="2" t="s">
        <v>68</v>
      </c>
      <c r="H13" s="2" t="s">
        <v>68</v>
      </c>
      <c r="I13" s="2" t="s">
        <v>68</v>
      </c>
      <c r="J13" s="2" t="s">
        <v>70</v>
      </c>
      <c r="L13" s="2" t="s">
        <v>115</v>
      </c>
      <c r="O13" t="s">
        <v>72</v>
      </c>
      <c r="P13" s="2">
        <v>570376220</v>
      </c>
      <c r="R13" s="2">
        <v>19000</v>
      </c>
      <c r="S13" s="4">
        <f t="shared" si="0"/>
        <v>47880</v>
      </c>
      <c r="T13" s="4">
        <v>-97</v>
      </c>
      <c r="U13" s="4">
        <f t="shared" si="1"/>
        <v>1436.4</v>
      </c>
      <c r="V13" s="5">
        <v>0.614</v>
      </c>
      <c r="W13" s="5">
        <v>0.615</v>
      </c>
      <c r="AU13" s="3" t="s">
        <v>73</v>
      </c>
      <c r="AW13" s="2" t="s">
        <v>93</v>
      </c>
      <c r="AZ13" t="s">
        <v>116</v>
      </c>
      <c r="BB13" s="7" t="s">
        <v>117</v>
      </c>
    </row>
    <row r="14" ht="15.75" spans="1:54">
      <c r="A14" s="2" t="s">
        <v>118</v>
      </c>
      <c r="B14" s="3" t="s">
        <v>63</v>
      </c>
      <c r="C14" s="2" t="s">
        <v>107</v>
      </c>
      <c r="D14" s="2">
        <v>2.51</v>
      </c>
      <c r="E14" s="2" t="s">
        <v>119</v>
      </c>
      <c r="F14" s="2" t="s">
        <v>91</v>
      </c>
      <c r="G14" s="2" t="s">
        <v>68</v>
      </c>
      <c r="H14" s="2" t="s">
        <v>68</v>
      </c>
      <c r="I14" s="2" t="s">
        <v>68</v>
      </c>
      <c r="J14" s="2" t="s">
        <v>70</v>
      </c>
      <c r="L14" s="2" t="s">
        <v>120</v>
      </c>
      <c r="O14" t="s">
        <v>72</v>
      </c>
      <c r="P14" s="2">
        <v>559298590</v>
      </c>
      <c r="R14" s="2">
        <v>23000</v>
      </c>
      <c r="S14" s="4">
        <f t="shared" si="0"/>
        <v>57730</v>
      </c>
      <c r="T14" s="4">
        <v>-97</v>
      </c>
      <c r="U14" s="4">
        <f t="shared" si="1"/>
        <v>1731.9</v>
      </c>
      <c r="V14" s="5">
        <v>0.601</v>
      </c>
      <c r="W14" s="5">
        <v>0.595</v>
      </c>
      <c r="AU14" s="3" t="s">
        <v>73</v>
      </c>
      <c r="AW14" s="2" t="s">
        <v>74</v>
      </c>
      <c r="AZ14" t="s">
        <v>121</v>
      </c>
      <c r="BB14" s="7" t="str">
        <f>HYPERLINK("https://v360.in/diamondview.aspx?cid=preet&amp;d=HN-129-2","https://v360.in/diamondview.aspx?cid=preet&amp;d=HN-129-2")</f>
        <v>https://v360.in/diamondview.aspx?cid=preet&amp;d=HN-129-2</v>
      </c>
    </row>
    <row r="15" ht="15.75" spans="1:54">
      <c r="A15" s="2" t="s">
        <v>122</v>
      </c>
      <c r="B15" s="3" t="s">
        <v>63</v>
      </c>
      <c r="C15" s="2" t="s">
        <v>107</v>
      </c>
      <c r="D15" s="2">
        <v>2.36</v>
      </c>
      <c r="E15" s="2" t="s">
        <v>63</v>
      </c>
      <c r="F15" s="2" t="s">
        <v>91</v>
      </c>
      <c r="G15" s="2" t="s">
        <v>68</v>
      </c>
      <c r="H15" s="2" t="s">
        <v>68</v>
      </c>
      <c r="I15" s="2" t="s">
        <v>68</v>
      </c>
      <c r="J15" s="2" t="s">
        <v>70</v>
      </c>
      <c r="L15" s="2" t="s">
        <v>123</v>
      </c>
      <c r="O15" t="s">
        <v>72</v>
      </c>
      <c r="P15" s="2">
        <v>520208297</v>
      </c>
      <c r="R15" s="2">
        <v>19000</v>
      </c>
      <c r="S15" s="4">
        <f t="shared" si="0"/>
        <v>44840</v>
      </c>
      <c r="T15" s="4">
        <v>-97</v>
      </c>
      <c r="U15" s="4">
        <f t="shared" si="1"/>
        <v>1345.2</v>
      </c>
      <c r="V15" s="5">
        <v>0.628</v>
      </c>
      <c r="W15" s="5">
        <v>0.545</v>
      </c>
      <c r="AU15" s="3" t="s">
        <v>73</v>
      </c>
      <c r="AW15" s="2" t="s">
        <v>74</v>
      </c>
      <c r="AZ15" t="s">
        <v>124</v>
      </c>
      <c r="BB15" s="7" t="str">
        <f>HYPERLINK("HTTPS://V360.IN/DIAMONDVIEW.ASPX?CID=MEET&amp;D=HN-52-41","HTTPS://V360.IN/DIAMONDVIEW.ASPX?CID=MEET&amp;D=HN-52-41")</f>
        <v>HTTPS://V360.IN/DIAMONDVIEW.ASPX?CID=MEET&amp;D=HN-52-41</v>
      </c>
    </row>
    <row r="16" ht="15.75" spans="1:54">
      <c r="A16" s="2" t="s">
        <v>125</v>
      </c>
      <c r="B16" s="3" t="s">
        <v>63</v>
      </c>
      <c r="C16" s="2" t="s">
        <v>107</v>
      </c>
      <c r="D16" s="2">
        <v>2.31</v>
      </c>
      <c r="E16" s="2" t="s">
        <v>65</v>
      </c>
      <c r="F16" s="2" t="s">
        <v>66</v>
      </c>
      <c r="G16" s="2" t="s">
        <v>68</v>
      </c>
      <c r="H16" s="2" t="s">
        <v>68</v>
      </c>
      <c r="I16" s="2" t="s">
        <v>68</v>
      </c>
      <c r="J16" s="2" t="s">
        <v>70</v>
      </c>
      <c r="L16" s="2" t="s">
        <v>126</v>
      </c>
      <c r="O16" t="s">
        <v>72</v>
      </c>
      <c r="P16" s="2">
        <v>571301019</v>
      </c>
      <c r="R16" s="2">
        <v>18500</v>
      </c>
      <c r="S16" s="4">
        <f t="shared" si="0"/>
        <v>42735</v>
      </c>
      <c r="T16" s="4">
        <v>-97</v>
      </c>
      <c r="U16" s="4">
        <f t="shared" si="1"/>
        <v>1282.05</v>
      </c>
      <c r="V16" s="5">
        <v>0.632</v>
      </c>
      <c r="W16" s="5">
        <v>0.575</v>
      </c>
      <c r="AU16" s="3" t="s">
        <v>73</v>
      </c>
      <c r="AW16" s="2" t="s">
        <v>93</v>
      </c>
      <c r="AZ16" t="s">
        <v>127</v>
      </c>
      <c r="BB16" s="7" t="s">
        <v>128</v>
      </c>
    </row>
    <row r="17" ht="15.75" spans="1:54">
      <c r="A17" s="2" t="s">
        <v>129</v>
      </c>
      <c r="B17" s="3" t="s">
        <v>63</v>
      </c>
      <c r="C17" s="2" t="s">
        <v>107</v>
      </c>
      <c r="D17" s="2">
        <v>2.16</v>
      </c>
      <c r="E17" s="2" t="s">
        <v>81</v>
      </c>
      <c r="F17" s="2" t="s">
        <v>91</v>
      </c>
      <c r="G17" s="2" t="s">
        <v>68</v>
      </c>
      <c r="H17" s="2" t="s">
        <v>68</v>
      </c>
      <c r="I17" s="2" t="s">
        <v>68</v>
      </c>
      <c r="J17" s="2" t="s">
        <v>70</v>
      </c>
      <c r="L17" s="2" t="s">
        <v>130</v>
      </c>
      <c r="O17" t="s">
        <v>72</v>
      </c>
      <c r="P17" s="2">
        <v>520212206</v>
      </c>
      <c r="R17" s="2">
        <v>16500</v>
      </c>
      <c r="S17" s="4">
        <f t="shared" si="0"/>
        <v>35640</v>
      </c>
      <c r="T17" s="4">
        <v>-97</v>
      </c>
      <c r="U17" s="4">
        <f t="shared" si="1"/>
        <v>1069.2</v>
      </c>
      <c r="V17" s="2">
        <v>59.7</v>
      </c>
      <c r="W17" s="5">
        <v>0.605</v>
      </c>
      <c r="AU17" s="3" t="s">
        <v>73</v>
      </c>
      <c r="AW17" s="2" t="s">
        <v>74</v>
      </c>
      <c r="AZ17" t="s">
        <v>131</v>
      </c>
      <c r="BB17" s="7" t="str">
        <f>HYPERLINK("https://view.gem360.in/gem360/0504220722-HN52-30/gem360-0504220722-HN52-30.html","https://view.gem360.in/gem360/0504220722-HN52-30/gem360-0504220722-HN52-30.html")</f>
        <v>https://view.gem360.in/gem360/0504220722-HN52-30/gem360-0504220722-HN52-30.html</v>
      </c>
    </row>
    <row r="18" ht="15.75" spans="1:54">
      <c r="A18" s="2" t="s">
        <v>132</v>
      </c>
      <c r="B18" s="3" t="s">
        <v>63</v>
      </c>
      <c r="C18" s="2" t="s">
        <v>107</v>
      </c>
      <c r="D18" s="2">
        <v>2.14</v>
      </c>
      <c r="E18" s="2" t="s">
        <v>63</v>
      </c>
      <c r="F18" s="2" t="s">
        <v>66</v>
      </c>
      <c r="G18" s="2" t="s">
        <v>68</v>
      </c>
      <c r="H18" s="2" t="s">
        <v>68</v>
      </c>
      <c r="I18" s="2" t="s">
        <v>68</v>
      </c>
      <c r="J18" s="2" t="s">
        <v>70</v>
      </c>
      <c r="L18" s="2" t="s">
        <v>133</v>
      </c>
      <c r="O18" t="s">
        <v>72</v>
      </c>
      <c r="P18" s="2">
        <v>522224997</v>
      </c>
      <c r="R18" s="2">
        <v>17000</v>
      </c>
      <c r="S18" s="4">
        <f t="shared" si="0"/>
        <v>36380</v>
      </c>
      <c r="T18" s="4">
        <v>-97</v>
      </c>
      <c r="U18" s="4">
        <f t="shared" si="1"/>
        <v>1091.4</v>
      </c>
      <c r="V18" s="5">
        <v>0.623</v>
      </c>
      <c r="W18" s="2">
        <v>59</v>
      </c>
      <c r="AU18" s="3" t="s">
        <v>73</v>
      </c>
      <c r="AW18" s="2" t="s">
        <v>74</v>
      </c>
      <c r="AZ18" t="s">
        <v>134</v>
      </c>
      <c r="BB18" s="7" t="str">
        <f>HYPERLINK("https://view.gem360.in/gem360/0704220635-HN52-27/gem360-0704220635-HN52-27.html","https://view.gem360.in/gem360/0704220635-HN52-27/gem360-0704220635-HN52-27.html")</f>
        <v>https://view.gem360.in/gem360/0704220635-HN52-27/gem360-0704220635-HN52-27.html</v>
      </c>
    </row>
    <row r="19" ht="15.75" spans="1:54">
      <c r="A19" s="2" t="s">
        <v>135</v>
      </c>
      <c r="B19" s="3" t="s">
        <v>63</v>
      </c>
      <c r="C19" s="2" t="s">
        <v>107</v>
      </c>
      <c r="D19" s="2">
        <v>2.13</v>
      </c>
      <c r="E19" s="2" t="s">
        <v>119</v>
      </c>
      <c r="F19" s="2" t="s">
        <v>91</v>
      </c>
      <c r="G19" s="2" t="s">
        <v>68</v>
      </c>
      <c r="H19" s="2" t="s">
        <v>68</v>
      </c>
      <c r="I19" s="2" t="s">
        <v>68</v>
      </c>
      <c r="J19" s="2" t="s">
        <v>70</v>
      </c>
      <c r="L19" s="2" t="s">
        <v>136</v>
      </c>
      <c r="O19" t="s">
        <v>72</v>
      </c>
      <c r="P19" s="2">
        <v>571301018</v>
      </c>
      <c r="R19" s="2">
        <v>23000</v>
      </c>
      <c r="S19" s="4">
        <f t="shared" si="0"/>
        <v>48990</v>
      </c>
      <c r="T19" s="4">
        <v>-97</v>
      </c>
      <c r="U19" s="4">
        <f t="shared" si="1"/>
        <v>1469.7</v>
      </c>
      <c r="V19" s="5">
        <v>0.593</v>
      </c>
      <c r="W19" s="6">
        <v>0.6</v>
      </c>
      <c r="AU19" s="3" t="s">
        <v>73</v>
      </c>
      <c r="AW19" s="2" t="s">
        <v>93</v>
      </c>
      <c r="AZ19" t="s">
        <v>137</v>
      </c>
      <c r="BB19" s="7" t="s">
        <v>138</v>
      </c>
    </row>
    <row r="20" ht="15.75" spans="1:54">
      <c r="A20" s="2" t="s">
        <v>139</v>
      </c>
      <c r="B20" s="3" t="s">
        <v>63</v>
      </c>
      <c r="C20" s="2" t="s">
        <v>107</v>
      </c>
      <c r="D20" s="2">
        <v>2.09</v>
      </c>
      <c r="E20" s="2" t="s">
        <v>65</v>
      </c>
      <c r="F20" s="2" t="s">
        <v>66</v>
      </c>
      <c r="G20" s="2" t="s">
        <v>68</v>
      </c>
      <c r="H20" s="2" t="s">
        <v>68</v>
      </c>
      <c r="I20" s="2" t="s">
        <v>68</v>
      </c>
      <c r="J20" s="2" t="s">
        <v>70</v>
      </c>
      <c r="L20" s="2" t="s">
        <v>140</v>
      </c>
      <c r="O20" t="s">
        <v>72</v>
      </c>
      <c r="P20" s="2">
        <v>559298588</v>
      </c>
      <c r="R20" s="2">
        <v>18500</v>
      </c>
      <c r="S20" s="4">
        <f t="shared" si="0"/>
        <v>38665</v>
      </c>
      <c r="T20" s="4">
        <v>-97</v>
      </c>
      <c r="U20" s="4">
        <f t="shared" si="1"/>
        <v>1159.95</v>
      </c>
      <c r="V20" s="5">
        <v>0.602</v>
      </c>
      <c r="W20" s="2">
        <v>60</v>
      </c>
      <c r="AU20" s="3" t="s">
        <v>73</v>
      </c>
      <c r="AW20" s="2" t="s">
        <v>74</v>
      </c>
      <c r="AZ20" t="s">
        <v>141</v>
      </c>
      <c r="BB20" s="7" t="str">
        <f>HYPERLINK("https://v360.in/diamondview.aspx?cid=preet&amp;d=HN-129-5","https://v360.in/diamondview.aspx?cid=preet&amp;d=HN-129-5")</f>
        <v>https://v360.in/diamondview.aspx?cid=preet&amp;d=HN-129-5</v>
      </c>
    </row>
    <row r="21" ht="15.75" spans="1:54">
      <c r="A21" s="2" t="s">
        <v>142</v>
      </c>
      <c r="B21" s="3" t="s">
        <v>63</v>
      </c>
      <c r="C21" s="2" t="s">
        <v>107</v>
      </c>
      <c r="D21" s="2">
        <v>2.05</v>
      </c>
      <c r="E21" s="2" t="s">
        <v>65</v>
      </c>
      <c r="F21" s="2" t="s">
        <v>143</v>
      </c>
      <c r="G21" s="2" t="s">
        <v>68</v>
      </c>
      <c r="H21" s="2" t="s">
        <v>68</v>
      </c>
      <c r="I21" s="2" t="s">
        <v>68</v>
      </c>
      <c r="J21" s="2" t="s">
        <v>70</v>
      </c>
      <c r="L21" s="2" t="s">
        <v>144</v>
      </c>
      <c r="O21" t="s">
        <v>72</v>
      </c>
      <c r="P21" s="2">
        <v>571301015</v>
      </c>
      <c r="R21" s="2">
        <v>24500</v>
      </c>
      <c r="S21" s="4">
        <f t="shared" si="0"/>
        <v>50225</v>
      </c>
      <c r="T21" s="4">
        <v>-97</v>
      </c>
      <c r="U21" s="4">
        <f t="shared" si="1"/>
        <v>1506.75</v>
      </c>
      <c r="V21" s="5">
        <v>0.617</v>
      </c>
      <c r="W21" s="6">
        <v>0.59</v>
      </c>
      <c r="AU21" s="3" t="s">
        <v>73</v>
      </c>
      <c r="AW21" s="2" t="s">
        <v>93</v>
      </c>
      <c r="AZ21" t="s">
        <v>145</v>
      </c>
      <c r="BB21" s="7" t="s">
        <v>146</v>
      </c>
    </row>
    <row r="22" ht="15.75" spans="1:54">
      <c r="A22" s="2" t="s">
        <v>147</v>
      </c>
      <c r="B22" s="3" t="s">
        <v>63</v>
      </c>
      <c r="C22" s="2" t="s">
        <v>107</v>
      </c>
      <c r="D22" s="2">
        <v>2.02</v>
      </c>
      <c r="E22" s="2" t="s">
        <v>119</v>
      </c>
      <c r="F22" s="2" t="s">
        <v>66</v>
      </c>
      <c r="G22" s="2" t="s">
        <v>68</v>
      </c>
      <c r="H22" s="2" t="s">
        <v>68</v>
      </c>
      <c r="I22" s="2" t="s">
        <v>68</v>
      </c>
      <c r="J22" s="2" t="s">
        <v>70</v>
      </c>
      <c r="L22" s="2" t="s">
        <v>148</v>
      </c>
      <c r="O22" t="s">
        <v>72</v>
      </c>
      <c r="P22" s="2">
        <v>571301014</v>
      </c>
      <c r="R22" s="2">
        <v>20000</v>
      </c>
      <c r="S22" s="4">
        <f t="shared" si="0"/>
        <v>40400</v>
      </c>
      <c r="T22" s="4">
        <v>-97</v>
      </c>
      <c r="U22" s="4">
        <f t="shared" si="1"/>
        <v>1212</v>
      </c>
      <c r="V22" s="5">
        <v>0.614</v>
      </c>
      <c r="W22" s="5">
        <v>0.595</v>
      </c>
      <c r="AU22" s="3" t="s">
        <v>73</v>
      </c>
      <c r="AW22" s="2" t="s">
        <v>93</v>
      </c>
      <c r="AZ22" t="s">
        <v>149</v>
      </c>
      <c r="BB22" s="7" t="s">
        <v>150</v>
      </c>
    </row>
    <row r="23" ht="15.75" spans="1:54">
      <c r="A23" s="2" t="s">
        <v>151</v>
      </c>
      <c r="B23" s="3" t="s">
        <v>63</v>
      </c>
      <c r="C23" s="2" t="s">
        <v>107</v>
      </c>
      <c r="D23" s="2">
        <v>2.02</v>
      </c>
      <c r="E23" s="2" t="s">
        <v>63</v>
      </c>
      <c r="F23" s="2" t="s">
        <v>66</v>
      </c>
      <c r="G23" s="2" t="s">
        <v>68</v>
      </c>
      <c r="H23" s="2" t="s">
        <v>68</v>
      </c>
      <c r="I23" s="2" t="s">
        <v>68</v>
      </c>
      <c r="J23" s="2" t="s">
        <v>70</v>
      </c>
      <c r="L23" s="2" t="s">
        <v>152</v>
      </c>
      <c r="O23" t="s">
        <v>72</v>
      </c>
      <c r="P23" s="2">
        <v>520212218</v>
      </c>
      <c r="R23" s="2">
        <v>17000</v>
      </c>
      <c r="S23" s="4">
        <f t="shared" si="0"/>
        <v>34340</v>
      </c>
      <c r="T23" s="4">
        <v>-97</v>
      </c>
      <c r="U23" s="4">
        <f t="shared" si="1"/>
        <v>1030.2</v>
      </c>
      <c r="V23" s="5">
        <v>0.615</v>
      </c>
      <c r="W23" s="5">
        <v>0.555</v>
      </c>
      <c r="AU23" s="3" t="s">
        <v>73</v>
      </c>
      <c r="AW23" s="2" t="s">
        <v>74</v>
      </c>
      <c r="AZ23" t="s">
        <v>153</v>
      </c>
      <c r="BB23" s="7" t="str">
        <f>HYPERLINK("https://view.gem360.in/gem360/0504220727-HN52-55/gem360-0504220727-HN52-55.html","https://view.gem360.in/gem360/0504220727-HN52-55/gem360-0504220727-HN52-55.html")</f>
        <v>https://view.gem360.in/gem360/0504220727-HN52-55/gem360-0504220727-HN52-55.html</v>
      </c>
    </row>
    <row r="24" ht="15.75" spans="1:54">
      <c r="A24" s="2" t="s">
        <v>154</v>
      </c>
      <c r="B24" s="3" t="s">
        <v>63</v>
      </c>
      <c r="C24" s="2" t="s">
        <v>107</v>
      </c>
      <c r="D24" s="2">
        <v>2.01</v>
      </c>
      <c r="E24" s="2" t="s">
        <v>65</v>
      </c>
      <c r="F24" s="2" t="s">
        <v>155</v>
      </c>
      <c r="G24" s="2" t="s">
        <v>68</v>
      </c>
      <c r="H24" s="2" t="s">
        <v>68</v>
      </c>
      <c r="I24" s="2" t="s">
        <v>68</v>
      </c>
      <c r="J24" s="2" t="s">
        <v>70</v>
      </c>
      <c r="L24" s="2" t="s">
        <v>156</v>
      </c>
      <c r="O24" t="s">
        <v>72</v>
      </c>
      <c r="P24" s="2">
        <v>551214619</v>
      </c>
      <c r="R24" s="2">
        <v>15800</v>
      </c>
      <c r="S24" s="4">
        <f t="shared" si="0"/>
        <v>31758</v>
      </c>
      <c r="T24" s="4">
        <v>-97</v>
      </c>
      <c r="U24" s="4">
        <f t="shared" si="1"/>
        <v>952.74</v>
      </c>
      <c r="V24" s="5">
        <v>0.607</v>
      </c>
      <c r="W24" s="6">
        <v>0.59</v>
      </c>
      <c r="AU24" s="3" t="s">
        <v>73</v>
      </c>
      <c r="AW24" s="2" t="s">
        <v>74</v>
      </c>
      <c r="AZ24" t="s">
        <v>157</v>
      </c>
      <c r="BB24" s="7" t="str">
        <f>HYPERLINK("https://v360.in/diamondview.aspx?cid=preet&amp;d=HN-127-2","https://v360.in/diamondview.aspx?cid=preet&amp;d=HN-127-2")</f>
        <v>https://v360.in/diamondview.aspx?cid=preet&amp;d=HN-127-2</v>
      </c>
    </row>
    <row r="25" ht="15.75" spans="1:54">
      <c r="A25" s="2" t="s">
        <v>158</v>
      </c>
      <c r="B25" s="3" t="s">
        <v>63</v>
      </c>
      <c r="C25" s="2" t="s">
        <v>107</v>
      </c>
      <c r="D25" s="2">
        <v>2.01</v>
      </c>
      <c r="E25" s="2" t="s">
        <v>63</v>
      </c>
      <c r="F25" s="2" t="s">
        <v>91</v>
      </c>
      <c r="G25" s="2" t="s">
        <v>68</v>
      </c>
      <c r="H25" s="2" t="s">
        <v>68</v>
      </c>
      <c r="I25" s="2" t="s">
        <v>68</v>
      </c>
      <c r="J25" s="2" t="s">
        <v>70</v>
      </c>
      <c r="L25" s="2" t="s">
        <v>159</v>
      </c>
      <c r="O25" t="s">
        <v>72</v>
      </c>
      <c r="P25" s="2">
        <v>570376222</v>
      </c>
      <c r="R25" s="2">
        <v>19000</v>
      </c>
      <c r="S25" s="4">
        <f t="shared" si="0"/>
        <v>38190</v>
      </c>
      <c r="T25" s="4">
        <v>-97</v>
      </c>
      <c r="U25" s="4">
        <f t="shared" si="1"/>
        <v>1145.7</v>
      </c>
      <c r="V25" s="5">
        <v>0.614</v>
      </c>
      <c r="W25" s="6">
        <v>0.59</v>
      </c>
      <c r="AU25" s="3" t="s">
        <v>73</v>
      </c>
      <c r="AW25" s="2" t="s">
        <v>93</v>
      </c>
      <c r="AZ25" t="s">
        <v>160</v>
      </c>
      <c r="BB25" s="7" t="s">
        <v>161</v>
      </c>
    </row>
    <row r="26" ht="15.75" spans="1:54">
      <c r="A26" s="2" t="s">
        <v>162</v>
      </c>
      <c r="B26" s="3" t="s">
        <v>63</v>
      </c>
      <c r="C26" s="2" t="s">
        <v>107</v>
      </c>
      <c r="D26" s="2">
        <v>2</v>
      </c>
      <c r="E26" s="2" t="s">
        <v>119</v>
      </c>
      <c r="F26" s="2" t="s">
        <v>66</v>
      </c>
      <c r="G26" s="2" t="s">
        <v>68</v>
      </c>
      <c r="H26" s="2" t="s">
        <v>68</v>
      </c>
      <c r="I26" s="2" t="s">
        <v>68</v>
      </c>
      <c r="J26" s="2" t="s">
        <v>70</v>
      </c>
      <c r="L26" s="2" t="s">
        <v>163</v>
      </c>
      <c r="O26" t="s">
        <v>72</v>
      </c>
      <c r="P26" s="2">
        <v>559298604</v>
      </c>
      <c r="R26" s="2">
        <v>20000</v>
      </c>
      <c r="S26" s="4">
        <f t="shared" si="0"/>
        <v>40000</v>
      </c>
      <c r="T26" s="4">
        <v>-97</v>
      </c>
      <c r="U26" s="4">
        <f t="shared" si="1"/>
        <v>1200</v>
      </c>
      <c r="V26" s="5">
        <v>0.624</v>
      </c>
      <c r="W26" s="5">
        <v>0.605</v>
      </c>
      <c r="AU26" s="3" t="s">
        <v>73</v>
      </c>
      <c r="AW26" s="2" t="s">
        <v>74</v>
      </c>
      <c r="AZ26" t="s">
        <v>164</v>
      </c>
      <c r="BB26" s="7" t="str">
        <f>HYPERLINK("https://v360.in/diamondview.aspx?cid=preet&amp;d=HN-130-37","https://v360.in/diamondview.aspx?cid=preet&amp;d=HN-130-37")</f>
        <v>https://v360.in/diamondview.aspx?cid=preet&amp;d=HN-130-37</v>
      </c>
    </row>
    <row r="27" ht="15.75" spans="1:54">
      <c r="A27" s="2" t="s">
        <v>165</v>
      </c>
      <c r="B27" s="3" t="s">
        <v>63</v>
      </c>
      <c r="C27" s="2" t="s">
        <v>107</v>
      </c>
      <c r="D27" s="2">
        <v>2</v>
      </c>
      <c r="E27" s="2" t="s">
        <v>65</v>
      </c>
      <c r="F27" s="2" t="s">
        <v>66</v>
      </c>
      <c r="G27" s="2" t="s">
        <v>68</v>
      </c>
      <c r="H27" s="2" t="s">
        <v>68</v>
      </c>
      <c r="I27" s="2" t="s">
        <v>68</v>
      </c>
      <c r="J27" s="2" t="s">
        <v>70</v>
      </c>
      <c r="L27" s="2" t="s">
        <v>166</v>
      </c>
      <c r="O27" t="s">
        <v>72</v>
      </c>
      <c r="P27" s="2">
        <v>564365290</v>
      </c>
      <c r="R27" s="2">
        <v>18500</v>
      </c>
      <c r="S27" s="4">
        <f t="shared" si="0"/>
        <v>37000</v>
      </c>
      <c r="T27" s="4">
        <v>-97</v>
      </c>
      <c r="U27" s="4">
        <f t="shared" si="1"/>
        <v>1110</v>
      </c>
      <c r="V27" s="5">
        <v>0.632</v>
      </c>
      <c r="W27" s="5">
        <v>0.565</v>
      </c>
      <c r="AU27" s="3" t="s">
        <v>73</v>
      </c>
      <c r="AW27" s="2" t="s">
        <v>93</v>
      </c>
      <c r="AZ27" t="s">
        <v>167</v>
      </c>
      <c r="BB27" s="7" t="str">
        <f>HYPERLINK("https://v360.in/diamondview.aspx?cid=preet&amp;d=HN-134-120","https://v360.in/diamondview.aspx?cid=preet&amp;d=HN-134-120")</f>
        <v>https://v360.in/diamondview.aspx?cid=preet&amp;d=HN-134-120</v>
      </c>
    </row>
    <row r="28" ht="15.75" spans="1:54">
      <c r="A28" s="2" t="s">
        <v>168</v>
      </c>
      <c r="B28" s="3" t="s">
        <v>63</v>
      </c>
      <c r="C28" s="2" t="s">
        <v>107</v>
      </c>
      <c r="D28" s="2">
        <v>1.94</v>
      </c>
      <c r="E28" s="2" t="s">
        <v>65</v>
      </c>
      <c r="F28" s="2" t="s">
        <v>91</v>
      </c>
      <c r="G28" s="2" t="s">
        <v>68</v>
      </c>
      <c r="H28" s="2" t="s">
        <v>68</v>
      </c>
      <c r="I28" s="2" t="s">
        <v>68</v>
      </c>
      <c r="J28" s="2" t="s">
        <v>70</v>
      </c>
      <c r="L28" s="2" t="s">
        <v>169</v>
      </c>
      <c r="O28" t="s">
        <v>72</v>
      </c>
      <c r="P28" s="2">
        <v>570376229</v>
      </c>
      <c r="R28" s="2">
        <v>15200</v>
      </c>
      <c r="S28" s="4">
        <f t="shared" si="0"/>
        <v>29488</v>
      </c>
      <c r="T28" s="4">
        <v>-97</v>
      </c>
      <c r="U28" s="4">
        <f t="shared" si="1"/>
        <v>884.64</v>
      </c>
      <c r="V28" s="5">
        <v>0.609</v>
      </c>
      <c r="W28" s="6">
        <v>0.6</v>
      </c>
      <c r="AU28" s="3" t="s">
        <v>73</v>
      </c>
      <c r="AW28" s="2" t="s">
        <v>93</v>
      </c>
      <c r="AZ28" t="s">
        <v>170</v>
      </c>
      <c r="BB28" s="7" t="str">
        <f>HYPERLINK("https://v360.in/diamondview.aspx?cid=preet&amp;d=HN-142-107","https://v360.in/diamondview.aspx?cid=preet&amp;d=HN-142-107")</f>
        <v>https://v360.in/diamondview.aspx?cid=preet&amp;d=HN-142-107</v>
      </c>
    </row>
    <row r="29" ht="15.75" spans="1:54">
      <c r="A29" s="2" t="s">
        <v>171</v>
      </c>
      <c r="B29" s="3" t="s">
        <v>63</v>
      </c>
      <c r="C29" s="2" t="s">
        <v>107</v>
      </c>
      <c r="D29" s="2">
        <v>1.62</v>
      </c>
      <c r="E29" s="2" t="s">
        <v>65</v>
      </c>
      <c r="F29" s="2" t="s">
        <v>66</v>
      </c>
      <c r="G29" s="2" t="s">
        <v>68</v>
      </c>
      <c r="H29" s="2" t="s">
        <v>68</v>
      </c>
      <c r="I29" s="2" t="s">
        <v>68</v>
      </c>
      <c r="J29" s="2" t="s">
        <v>70</v>
      </c>
      <c r="L29" s="2" t="s">
        <v>172</v>
      </c>
      <c r="O29" t="s">
        <v>72</v>
      </c>
      <c r="P29" s="2">
        <v>553219380</v>
      </c>
      <c r="R29" s="2">
        <v>13700</v>
      </c>
      <c r="S29" s="4">
        <f t="shared" si="0"/>
        <v>22194</v>
      </c>
      <c r="T29" s="4">
        <v>-97</v>
      </c>
      <c r="U29" s="4">
        <f t="shared" si="1"/>
        <v>665.82</v>
      </c>
      <c r="V29" s="6">
        <v>0.6</v>
      </c>
      <c r="W29" s="6">
        <v>0.59</v>
      </c>
      <c r="AU29" s="3" t="s">
        <v>73</v>
      </c>
      <c r="AW29" s="2" t="s">
        <v>74</v>
      </c>
      <c r="AZ29" t="s">
        <v>173</v>
      </c>
      <c r="BB29" s="7" t="str">
        <f>HYPERLINK("https://v360.in/diamondview.aspx?cid=preet&amp;d=HN-127-6","https://v360.in/diamondview.aspx?cid=preet&amp;d=HN-127-6")</f>
        <v>https://v360.in/diamondview.aspx?cid=preet&amp;d=HN-127-6</v>
      </c>
    </row>
    <row r="30" ht="15.75" spans="1:54">
      <c r="A30" s="2" t="s">
        <v>174</v>
      </c>
      <c r="B30" s="3" t="s">
        <v>63</v>
      </c>
      <c r="C30" s="2" t="s">
        <v>107</v>
      </c>
      <c r="D30" s="2">
        <v>1.52</v>
      </c>
      <c r="E30" s="2" t="s">
        <v>63</v>
      </c>
      <c r="F30" s="2" t="s">
        <v>155</v>
      </c>
      <c r="G30" s="2" t="s">
        <v>68</v>
      </c>
      <c r="H30" s="2" t="s">
        <v>68</v>
      </c>
      <c r="I30" s="2" t="s">
        <v>68</v>
      </c>
      <c r="J30" s="2" t="s">
        <v>70</v>
      </c>
      <c r="L30" s="2" t="s">
        <v>175</v>
      </c>
      <c r="O30" t="s">
        <v>72</v>
      </c>
      <c r="P30" s="2">
        <v>551214621</v>
      </c>
      <c r="R30" s="2">
        <v>10600</v>
      </c>
      <c r="S30" s="4">
        <f t="shared" si="0"/>
        <v>16112</v>
      </c>
      <c r="T30" s="4">
        <v>-97</v>
      </c>
      <c r="U30" s="4">
        <f t="shared" si="1"/>
        <v>483.36</v>
      </c>
      <c r="V30" s="5">
        <v>0.633</v>
      </c>
      <c r="W30" s="5">
        <v>0.575</v>
      </c>
      <c r="AU30" s="3" t="s">
        <v>73</v>
      </c>
      <c r="AW30" s="2" t="s">
        <v>74</v>
      </c>
      <c r="AZ30" t="s">
        <v>176</v>
      </c>
      <c r="BB30" s="7" t="str">
        <f>HYPERLINK("https://v360.in/diamondview.aspx?cid=preet&amp;d=HN-127-7","https://v360.in/diamondview.aspx?cid=preet&amp;d=HN-127-7")</f>
        <v>https://v360.in/diamondview.aspx?cid=preet&amp;d=HN-127-7</v>
      </c>
    </row>
    <row r="31" ht="15.75" spans="1:54">
      <c r="A31" s="2" t="s">
        <v>177</v>
      </c>
      <c r="B31" s="3" t="s">
        <v>63</v>
      </c>
      <c r="C31" s="2" t="s">
        <v>107</v>
      </c>
      <c r="D31" s="2">
        <v>1.5</v>
      </c>
      <c r="E31" s="2" t="s">
        <v>65</v>
      </c>
      <c r="F31" s="2" t="s">
        <v>66</v>
      </c>
      <c r="G31" s="2" t="s">
        <v>68</v>
      </c>
      <c r="H31" s="2" t="s">
        <v>68</v>
      </c>
      <c r="I31" s="2" t="s">
        <v>68</v>
      </c>
      <c r="J31" s="2" t="s">
        <v>70</v>
      </c>
      <c r="L31" s="2" t="s">
        <v>178</v>
      </c>
      <c r="O31" t="s">
        <v>72</v>
      </c>
      <c r="P31" s="2">
        <v>570376215</v>
      </c>
      <c r="R31" s="2">
        <v>13700</v>
      </c>
      <c r="S31" s="4">
        <f t="shared" si="0"/>
        <v>20550</v>
      </c>
      <c r="T31" s="4">
        <v>-97</v>
      </c>
      <c r="U31" s="4">
        <f t="shared" si="1"/>
        <v>616.5</v>
      </c>
      <c r="V31" s="5">
        <v>0.604</v>
      </c>
      <c r="W31" s="5">
        <v>0.615</v>
      </c>
      <c r="AU31" s="3" t="s">
        <v>73</v>
      </c>
      <c r="AW31" s="2" t="s">
        <v>93</v>
      </c>
      <c r="AZ31" t="s">
        <v>179</v>
      </c>
      <c r="BB31" s="7" t="str">
        <f>HYPERLINK("https://v360.in/diamondview.aspx?cid=preet&amp;d=HN-142-93","https://v360.in/diamondview.aspx?cid=preet&amp;d=HN-142-93")</f>
        <v>https://v360.in/diamondview.aspx?cid=preet&amp;d=HN-142-93</v>
      </c>
    </row>
    <row r="32" ht="15.75" spans="1:54">
      <c r="A32" s="2" t="s">
        <v>180</v>
      </c>
      <c r="B32" s="3" t="s">
        <v>63</v>
      </c>
      <c r="C32" s="2" t="s">
        <v>107</v>
      </c>
      <c r="D32" s="2">
        <v>1.4</v>
      </c>
      <c r="E32" s="2" t="s">
        <v>63</v>
      </c>
      <c r="F32" s="2" t="s">
        <v>91</v>
      </c>
      <c r="G32" s="2" t="s">
        <v>68</v>
      </c>
      <c r="H32" s="2" t="s">
        <v>68</v>
      </c>
      <c r="I32" s="2" t="s">
        <v>68</v>
      </c>
      <c r="J32" s="2" t="s">
        <v>70</v>
      </c>
      <c r="L32" s="2" t="s">
        <v>181</v>
      </c>
      <c r="O32" t="s">
        <v>72</v>
      </c>
      <c r="P32" s="2">
        <v>571301017</v>
      </c>
      <c r="R32" s="2">
        <v>10100</v>
      </c>
      <c r="S32" s="4">
        <f t="shared" si="0"/>
        <v>14140</v>
      </c>
      <c r="T32" s="4">
        <v>-97</v>
      </c>
      <c r="U32" s="4">
        <f t="shared" si="1"/>
        <v>424.2</v>
      </c>
      <c r="V32" s="6">
        <v>0.6</v>
      </c>
      <c r="W32" s="6">
        <v>0.59</v>
      </c>
      <c r="AU32" s="3" t="s">
        <v>73</v>
      </c>
      <c r="AW32" s="2" t="s">
        <v>93</v>
      </c>
      <c r="AZ32" t="s">
        <v>182</v>
      </c>
      <c r="BB32" s="7" t="s">
        <v>183</v>
      </c>
    </row>
    <row r="33" ht="15.75" spans="1:54">
      <c r="A33" s="2" t="s">
        <v>184</v>
      </c>
      <c r="B33" s="3" t="s">
        <v>63</v>
      </c>
      <c r="C33" s="2" t="s">
        <v>107</v>
      </c>
      <c r="D33" s="2">
        <v>1.38</v>
      </c>
      <c r="E33" s="2" t="s">
        <v>81</v>
      </c>
      <c r="F33" s="2" t="s">
        <v>66</v>
      </c>
      <c r="G33" s="2" t="s">
        <v>68</v>
      </c>
      <c r="H33" s="2" t="s">
        <v>68</v>
      </c>
      <c r="I33" s="2" t="s">
        <v>68</v>
      </c>
      <c r="J33" s="2" t="s">
        <v>70</v>
      </c>
      <c r="L33" s="2" t="s">
        <v>185</v>
      </c>
      <c r="O33" t="s">
        <v>72</v>
      </c>
      <c r="P33" s="2">
        <v>549294086</v>
      </c>
      <c r="R33" s="2">
        <v>8100</v>
      </c>
      <c r="S33" s="4">
        <f t="shared" si="0"/>
        <v>11178</v>
      </c>
      <c r="T33" s="4">
        <v>-97</v>
      </c>
      <c r="U33" s="4">
        <f t="shared" si="1"/>
        <v>335.34</v>
      </c>
      <c r="V33" s="5">
        <v>0.595</v>
      </c>
      <c r="W33" s="2">
        <v>60</v>
      </c>
      <c r="AU33" s="3" t="s">
        <v>73</v>
      </c>
      <c r="AW33" s="2" t="s">
        <v>74</v>
      </c>
      <c r="AZ33" t="s">
        <v>186</v>
      </c>
      <c r="BB33" s="7" t="str">
        <f>HYPERLINK("","")</f>
        <v/>
      </c>
    </row>
    <row r="34" ht="15.75" spans="1:54">
      <c r="A34" s="2" t="s">
        <v>187</v>
      </c>
      <c r="B34" s="3" t="s">
        <v>63</v>
      </c>
      <c r="C34" s="2" t="s">
        <v>107</v>
      </c>
      <c r="D34" s="2">
        <v>1.34</v>
      </c>
      <c r="E34" s="2" t="s">
        <v>81</v>
      </c>
      <c r="F34" s="2" t="s">
        <v>155</v>
      </c>
      <c r="G34" s="2" t="s">
        <v>68</v>
      </c>
      <c r="H34" s="2" t="s">
        <v>68</v>
      </c>
      <c r="I34" s="2" t="s">
        <v>68</v>
      </c>
      <c r="J34" s="2" t="s">
        <v>70</v>
      </c>
      <c r="L34" s="2" t="s">
        <v>188</v>
      </c>
      <c r="O34" t="s">
        <v>72</v>
      </c>
      <c r="P34" s="2">
        <v>549294152</v>
      </c>
      <c r="R34" s="2">
        <v>6500</v>
      </c>
      <c r="S34" s="4">
        <f t="shared" si="0"/>
        <v>8710</v>
      </c>
      <c r="T34" s="4">
        <v>-97</v>
      </c>
      <c r="U34" s="4">
        <f t="shared" si="1"/>
        <v>261.3</v>
      </c>
      <c r="V34" s="5">
        <v>0.629</v>
      </c>
      <c r="W34" s="6">
        <v>0.59</v>
      </c>
      <c r="AU34" s="3" t="s">
        <v>73</v>
      </c>
      <c r="AW34" s="2" t="s">
        <v>74</v>
      </c>
      <c r="AZ34" t="s">
        <v>189</v>
      </c>
      <c r="BB34" s="7" t="str">
        <f>HYPERLINK("","")</f>
        <v/>
      </c>
    </row>
    <row r="35" ht="15.75" spans="1:54">
      <c r="A35" s="2" t="s">
        <v>190</v>
      </c>
      <c r="B35" s="3" t="s">
        <v>63</v>
      </c>
      <c r="C35" s="2" t="s">
        <v>107</v>
      </c>
      <c r="D35" s="2">
        <v>1.33</v>
      </c>
      <c r="E35" s="2" t="s">
        <v>65</v>
      </c>
      <c r="F35" s="2" t="s">
        <v>66</v>
      </c>
      <c r="G35" s="2" t="s">
        <v>68</v>
      </c>
      <c r="H35" s="2" t="s">
        <v>68</v>
      </c>
      <c r="I35" s="2" t="s">
        <v>68</v>
      </c>
      <c r="J35" s="2" t="s">
        <v>70</v>
      </c>
      <c r="L35" s="2" t="s">
        <v>191</v>
      </c>
      <c r="O35" t="s">
        <v>72</v>
      </c>
      <c r="P35" s="2">
        <v>570376227</v>
      </c>
      <c r="R35" s="2">
        <v>9400</v>
      </c>
      <c r="S35" s="4">
        <f t="shared" si="0"/>
        <v>12502</v>
      </c>
      <c r="T35" s="4">
        <v>-97</v>
      </c>
      <c r="U35" s="4">
        <f t="shared" si="1"/>
        <v>375.06</v>
      </c>
      <c r="V35" s="5">
        <v>0.632</v>
      </c>
      <c r="W35" s="5">
        <v>0.565</v>
      </c>
      <c r="AU35" s="3" t="s">
        <v>73</v>
      </c>
      <c r="AW35" s="2" t="s">
        <v>93</v>
      </c>
      <c r="AZ35" t="s">
        <v>192</v>
      </c>
      <c r="BB35" s="7" t="str">
        <f>HYPERLINK("https://v360.in/diamondview.aspx?cid=preet&amp;d=HN-142-92","https://v360.in/diamondview.aspx?cid=preet&amp;d=HN-142-92")</f>
        <v>https://v360.in/diamondview.aspx?cid=preet&amp;d=HN-142-92</v>
      </c>
    </row>
    <row r="36" ht="15.75" spans="1:54">
      <c r="A36" s="2" t="s">
        <v>193</v>
      </c>
      <c r="B36" s="3" t="s">
        <v>63</v>
      </c>
      <c r="C36" s="2" t="s">
        <v>107</v>
      </c>
      <c r="D36" s="2">
        <v>1.21</v>
      </c>
      <c r="E36" s="2" t="s">
        <v>65</v>
      </c>
      <c r="F36" s="2" t="s">
        <v>66</v>
      </c>
      <c r="G36" s="2" t="s">
        <v>68</v>
      </c>
      <c r="H36" s="2" t="s">
        <v>68</v>
      </c>
      <c r="I36" s="2" t="s">
        <v>68</v>
      </c>
      <c r="J36" s="2" t="s">
        <v>70</v>
      </c>
      <c r="L36" s="2" t="s">
        <v>194</v>
      </c>
      <c r="O36" t="s">
        <v>72</v>
      </c>
      <c r="P36" s="2">
        <v>571301013</v>
      </c>
      <c r="R36" s="2">
        <v>9400</v>
      </c>
      <c r="S36" s="4">
        <f t="shared" si="0"/>
        <v>11374</v>
      </c>
      <c r="T36" s="4">
        <v>-97</v>
      </c>
      <c r="U36" s="4">
        <f t="shared" si="1"/>
        <v>341.22</v>
      </c>
      <c r="V36" s="5">
        <v>0.622</v>
      </c>
      <c r="W36" s="5">
        <v>0.585</v>
      </c>
      <c r="AU36" s="3" t="s">
        <v>73</v>
      </c>
      <c r="AW36" s="2" t="s">
        <v>93</v>
      </c>
      <c r="AZ36" t="s">
        <v>195</v>
      </c>
      <c r="BB36" s="7" t="s">
        <v>196</v>
      </c>
    </row>
    <row r="37" ht="15.75" spans="1:54">
      <c r="A37" s="2" t="s">
        <v>197</v>
      </c>
      <c r="B37" s="3" t="s">
        <v>63</v>
      </c>
      <c r="C37" s="2" t="s">
        <v>107</v>
      </c>
      <c r="D37" s="2">
        <v>1.21</v>
      </c>
      <c r="E37" s="2" t="s">
        <v>63</v>
      </c>
      <c r="F37" s="2" t="s">
        <v>66</v>
      </c>
      <c r="G37" s="2" t="s">
        <v>68</v>
      </c>
      <c r="H37" s="2" t="s">
        <v>68</v>
      </c>
      <c r="I37" s="2" t="s">
        <v>68</v>
      </c>
      <c r="J37" s="2" t="s">
        <v>70</v>
      </c>
      <c r="L37" s="2" t="s">
        <v>198</v>
      </c>
      <c r="O37" t="s">
        <v>72</v>
      </c>
      <c r="P37" s="2">
        <v>516243801</v>
      </c>
      <c r="R37" s="2">
        <v>8800</v>
      </c>
      <c r="S37" s="4">
        <f t="shared" si="0"/>
        <v>10648</v>
      </c>
      <c r="T37" s="4">
        <v>-97</v>
      </c>
      <c r="U37" s="4">
        <f t="shared" si="1"/>
        <v>319.44</v>
      </c>
      <c r="V37" s="5">
        <v>0.628</v>
      </c>
      <c r="W37" s="5">
        <v>0.575</v>
      </c>
      <c r="AU37" s="3" t="s">
        <v>73</v>
      </c>
      <c r="AW37" s="2" t="s">
        <v>74</v>
      </c>
      <c r="AZ37" t="s">
        <v>199</v>
      </c>
      <c r="BB37" s="7" t="str">
        <f>HYPERLINK("","")</f>
        <v/>
      </c>
    </row>
    <row r="38" ht="15.75" spans="1:54">
      <c r="A38" s="2" t="s">
        <v>200</v>
      </c>
      <c r="B38" s="3" t="s">
        <v>63</v>
      </c>
      <c r="C38" s="2" t="s">
        <v>107</v>
      </c>
      <c r="D38" s="2">
        <v>1.2</v>
      </c>
      <c r="E38" s="2" t="s">
        <v>119</v>
      </c>
      <c r="F38" s="2" t="s">
        <v>91</v>
      </c>
      <c r="G38" s="2" t="s">
        <v>68</v>
      </c>
      <c r="H38" s="2" t="s">
        <v>68</v>
      </c>
      <c r="I38" s="2" t="s">
        <v>68</v>
      </c>
      <c r="J38" s="2" t="s">
        <v>70</v>
      </c>
      <c r="L38" s="2" t="s">
        <v>201</v>
      </c>
      <c r="O38" t="s">
        <v>72</v>
      </c>
      <c r="P38" s="2">
        <v>547233182</v>
      </c>
      <c r="R38" s="2">
        <v>11700</v>
      </c>
      <c r="S38" s="4">
        <f t="shared" si="0"/>
        <v>14040</v>
      </c>
      <c r="T38" s="4">
        <v>-97</v>
      </c>
      <c r="U38" s="4">
        <f t="shared" si="1"/>
        <v>421.2</v>
      </c>
      <c r="V38" s="5">
        <v>0.608</v>
      </c>
      <c r="W38" s="6">
        <v>0.61</v>
      </c>
      <c r="AU38" s="3" t="s">
        <v>73</v>
      </c>
      <c r="AW38" s="2" t="s">
        <v>74</v>
      </c>
      <c r="AZ38" t="s">
        <v>202</v>
      </c>
      <c r="BB38" s="7" t="str">
        <f>HYPERLINK("https://v360.in/diamondview.aspx?cid=meet&amp;d=HN-87-62","https://v360.in/diamondview.aspx?cid=meet&amp;d=HN-87-62")</f>
        <v>https://v360.in/diamondview.aspx?cid=meet&amp;d=HN-87-62</v>
      </c>
    </row>
    <row r="39" ht="15.75" spans="1:54">
      <c r="A39" s="2" t="s">
        <v>203</v>
      </c>
      <c r="B39" s="3" t="s">
        <v>63</v>
      </c>
      <c r="C39" s="2" t="s">
        <v>107</v>
      </c>
      <c r="D39" s="2">
        <v>1.19</v>
      </c>
      <c r="E39" s="2" t="s">
        <v>81</v>
      </c>
      <c r="F39" s="2" t="s">
        <v>91</v>
      </c>
      <c r="G39" s="2" t="s">
        <v>68</v>
      </c>
      <c r="H39" s="2" t="s">
        <v>68</v>
      </c>
      <c r="I39" s="2" t="s">
        <v>68</v>
      </c>
      <c r="J39" s="2" t="s">
        <v>70</v>
      </c>
      <c r="L39" s="2" t="s">
        <v>204</v>
      </c>
      <c r="O39" t="s">
        <v>72</v>
      </c>
      <c r="P39" s="2">
        <v>566393799</v>
      </c>
      <c r="R39" s="2">
        <v>8900</v>
      </c>
      <c r="S39" s="4">
        <f t="shared" si="0"/>
        <v>10591</v>
      </c>
      <c r="T39" s="4">
        <v>-97</v>
      </c>
      <c r="U39" s="4">
        <f t="shared" si="1"/>
        <v>317.73</v>
      </c>
      <c r="V39" s="5">
        <v>0.625</v>
      </c>
      <c r="W39" s="6">
        <v>0.55</v>
      </c>
      <c r="AU39" s="3" t="s">
        <v>73</v>
      </c>
      <c r="AW39" s="2" t="s">
        <v>93</v>
      </c>
      <c r="AZ39" t="s">
        <v>205</v>
      </c>
      <c r="BB39" s="7" t="str">
        <f>HYPERLINK("https://v360.in/diamondview.aspx?cid=preet&amp;d=HN-135-75","https://v360.in/diamondview.aspx?cid=preet&amp;d=HN-135-75")</f>
        <v>https://v360.in/diamondview.aspx?cid=preet&amp;d=HN-135-75</v>
      </c>
    </row>
    <row r="40" ht="15.75" spans="1:54">
      <c r="A40" s="2" t="s">
        <v>206</v>
      </c>
      <c r="B40" s="3" t="s">
        <v>63</v>
      </c>
      <c r="C40" s="2" t="s">
        <v>107</v>
      </c>
      <c r="D40" s="2">
        <v>1.18</v>
      </c>
      <c r="E40" s="2" t="s">
        <v>63</v>
      </c>
      <c r="F40" s="2" t="s">
        <v>91</v>
      </c>
      <c r="G40" s="2" t="s">
        <v>68</v>
      </c>
      <c r="H40" s="2" t="s">
        <v>68</v>
      </c>
      <c r="I40" s="2" t="s">
        <v>68</v>
      </c>
      <c r="J40" s="2" t="s">
        <v>70</v>
      </c>
      <c r="L40" s="2" t="s">
        <v>207</v>
      </c>
      <c r="O40" t="s">
        <v>72</v>
      </c>
      <c r="P40" s="2">
        <v>571301020</v>
      </c>
      <c r="R40" s="2">
        <v>10100</v>
      </c>
      <c r="S40" s="4">
        <f t="shared" si="0"/>
        <v>11918</v>
      </c>
      <c r="T40" s="4">
        <v>-97</v>
      </c>
      <c r="U40" s="4">
        <f t="shared" si="1"/>
        <v>357.54</v>
      </c>
      <c r="V40" s="5">
        <v>0.613</v>
      </c>
      <c r="W40" s="6">
        <v>0.59</v>
      </c>
      <c r="AU40" s="3" t="s">
        <v>73</v>
      </c>
      <c r="AW40" s="2" t="s">
        <v>93</v>
      </c>
      <c r="AZ40" t="s">
        <v>208</v>
      </c>
      <c r="BB40" s="7" t="s">
        <v>209</v>
      </c>
    </row>
    <row r="41" ht="15.75" spans="1:54">
      <c r="A41" s="2" t="s">
        <v>210</v>
      </c>
      <c r="B41" s="3" t="s">
        <v>63</v>
      </c>
      <c r="C41" s="2" t="s">
        <v>107</v>
      </c>
      <c r="D41" s="2">
        <v>1.15</v>
      </c>
      <c r="E41" s="2" t="s">
        <v>65</v>
      </c>
      <c r="F41" s="2" t="s">
        <v>91</v>
      </c>
      <c r="G41" s="2" t="s">
        <v>68</v>
      </c>
      <c r="H41" s="2" t="s">
        <v>68</v>
      </c>
      <c r="I41" s="2" t="s">
        <v>68</v>
      </c>
      <c r="J41" s="2" t="s">
        <v>70</v>
      </c>
      <c r="L41" s="2" t="s">
        <v>211</v>
      </c>
      <c r="O41" t="s">
        <v>72</v>
      </c>
      <c r="P41" s="2">
        <v>566393798</v>
      </c>
      <c r="R41" s="2">
        <v>10900</v>
      </c>
      <c r="S41" s="4">
        <f t="shared" si="0"/>
        <v>12535</v>
      </c>
      <c r="T41" s="4">
        <v>-97</v>
      </c>
      <c r="U41" s="4">
        <f t="shared" si="1"/>
        <v>376.05</v>
      </c>
      <c r="V41" s="5">
        <v>0.619</v>
      </c>
      <c r="W41" s="5">
        <v>0.585</v>
      </c>
      <c r="AU41" s="3" t="s">
        <v>73</v>
      </c>
      <c r="AW41" s="2" t="s">
        <v>93</v>
      </c>
      <c r="AZ41" t="s">
        <v>212</v>
      </c>
      <c r="BB41" s="7" t="str">
        <f>HYPERLINK("https://v360.in/diamondview.aspx?cid=preet&amp;d=HN-135-73","https://v360.in/diamondview.aspx?cid=preet&amp;d=HN-135-73")</f>
        <v>https://v360.in/diamondview.aspx?cid=preet&amp;d=HN-135-73</v>
      </c>
    </row>
    <row r="42" ht="15.75" spans="1:54">
      <c r="A42" s="2" t="s">
        <v>213</v>
      </c>
      <c r="B42" s="3" t="s">
        <v>63</v>
      </c>
      <c r="C42" s="2" t="s">
        <v>107</v>
      </c>
      <c r="D42" s="2">
        <v>1.14</v>
      </c>
      <c r="E42" s="2" t="s">
        <v>119</v>
      </c>
      <c r="F42" s="2" t="s">
        <v>91</v>
      </c>
      <c r="G42" s="2" t="s">
        <v>68</v>
      </c>
      <c r="H42" s="2" t="s">
        <v>68</v>
      </c>
      <c r="I42" s="2" t="s">
        <v>68</v>
      </c>
      <c r="J42" s="2" t="s">
        <v>70</v>
      </c>
      <c r="L42" s="2" t="s">
        <v>214</v>
      </c>
      <c r="O42" t="s">
        <v>72</v>
      </c>
      <c r="P42" s="2">
        <v>567356390</v>
      </c>
      <c r="R42" s="2">
        <v>11700</v>
      </c>
      <c r="S42" s="4">
        <f t="shared" si="0"/>
        <v>13338</v>
      </c>
      <c r="T42" s="4">
        <v>-97</v>
      </c>
      <c r="U42" s="4">
        <f t="shared" si="1"/>
        <v>400.14</v>
      </c>
      <c r="V42" s="5">
        <v>0.632</v>
      </c>
      <c r="W42" s="6">
        <v>0.56</v>
      </c>
      <c r="AU42" s="3" t="s">
        <v>73</v>
      </c>
      <c r="AW42" s="2" t="s">
        <v>93</v>
      </c>
      <c r="AZ42" t="s">
        <v>215</v>
      </c>
      <c r="BB42" s="7" t="str">
        <f>HYPERLINK("https://v360.in/diamondview.aspx?cid=preet&amp;d=HN-136-109","https://v360.in/diamondview.aspx?cid=preet&amp;d=HN-136-109")</f>
        <v>https://v360.in/diamondview.aspx?cid=preet&amp;d=HN-136-109</v>
      </c>
    </row>
    <row r="43" ht="15.75" spans="1:54">
      <c r="A43" s="2" t="s">
        <v>216</v>
      </c>
      <c r="B43" s="3" t="s">
        <v>63</v>
      </c>
      <c r="C43" s="2" t="s">
        <v>107</v>
      </c>
      <c r="D43" s="2">
        <v>1.14</v>
      </c>
      <c r="E43" s="2" t="s">
        <v>65</v>
      </c>
      <c r="F43" s="2" t="s">
        <v>155</v>
      </c>
      <c r="G43" s="2" t="s">
        <v>68</v>
      </c>
      <c r="H43" s="2" t="s">
        <v>68</v>
      </c>
      <c r="I43" s="2" t="s">
        <v>68</v>
      </c>
      <c r="J43" s="2" t="s">
        <v>70</v>
      </c>
      <c r="L43" s="2" t="s">
        <v>217</v>
      </c>
      <c r="O43" t="s">
        <v>72</v>
      </c>
      <c r="P43" s="2">
        <v>528205273</v>
      </c>
      <c r="R43" s="2">
        <v>7500</v>
      </c>
      <c r="S43" s="4">
        <f t="shared" si="0"/>
        <v>8550</v>
      </c>
      <c r="T43" s="4">
        <v>-97</v>
      </c>
      <c r="U43" s="4">
        <f t="shared" si="1"/>
        <v>256.5</v>
      </c>
      <c r="V43" s="5">
        <v>0.633</v>
      </c>
      <c r="W43" s="5">
        <v>0.575</v>
      </c>
      <c r="AU43" s="3" t="s">
        <v>73</v>
      </c>
      <c r="AW43" s="2" t="s">
        <v>74</v>
      </c>
      <c r="AZ43" t="s">
        <v>218</v>
      </c>
      <c r="BB43" s="7" t="str">
        <f>HYPERLINK("https://view.gem360.in/gem360/2005220505-HN44-163/gem360-2005220505-HN44-163.html","https://view.gem360.in/gem360/2005220505-HN44-163/gem360-2005220505-HN44-163.html")</f>
        <v>https://view.gem360.in/gem360/2005220505-HN44-163/gem360-2005220505-HN44-163.html</v>
      </c>
    </row>
    <row r="44" ht="15.75" spans="1:54">
      <c r="A44" s="2" t="s">
        <v>219</v>
      </c>
      <c r="B44" s="3" t="s">
        <v>63</v>
      </c>
      <c r="C44" s="2" t="s">
        <v>107</v>
      </c>
      <c r="D44" s="2">
        <v>1.13</v>
      </c>
      <c r="E44" s="2" t="s">
        <v>63</v>
      </c>
      <c r="F44" s="2" t="s">
        <v>91</v>
      </c>
      <c r="G44" s="2" t="s">
        <v>68</v>
      </c>
      <c r="H44" s="2" t="s">
        <v>68</v>
      </c>
      <c r="I44" s="2" t="s">
        <v>68</v>
      </c>
      <c r="J44" s="2" t="s">
        <v>70</v>
      </c>
      <c r="L44" s="2" t="s">
        <v>220</v>
      </c>
      <c r="O44" t="s">
        <v>72</v>
      </c>
      <c r="P44" s="2">
        <v>570376228</v>
      </c>
      <c r="R44" s="2">
        <v>10100</v>
      </c>
      <c r="S44" s="4">
        <f t="shared" si="0"/>
        <v>11413</v>
      </c>
      <c r="T44" s="4">
        <v>-97</v>
      </c>
      <c r="U44" s="4">
        <f t="shared" si="1"/>
        <v>342.39</v>
      </c>
      <c r="V44" s="5">
        <v>0.629</v>
      </c>
      <c r="W44" s="5">
        <v>0.575</v>
      </c>
      <c r="AU44" s="3" t="s">
        <v>73</v>
      </c>
      <c r="AW44" s="2" t="s">
        <v>93</v>
      </c>
      <c r="AZ44" t="s">
        <v>221</v>
      </c>
      <c r="BB44" s="7" t="str">
        <f>HYPERLINK("https://v360.in/diamondview.aspx?cid=preet&amp;d=HN-142-103","https://v360.in/diamondview.aspx?cid=preet&amp;d=HN-142-103")</f>
        <v>https://v360.in/diamondview.aspx?cid=preet&amp;d=HN-142-103</v>
      </c>
    </row>
    <row r="45" ht="15.75" spans="1:54">
      <c r="A45" s="2" t="s">
        <v>222</v>
      </c>
      <c r="B45" s="3" t="s">
        <v>63</v>
      </c>
      <c r="C45" s="2" t="s">
        <v>107</v>
      </c>
      <c r="D45" s="2">
        <v>1.13</v>
      </c>
      <c r="E45" s="2" t="s">
        <v>63</v>
      </c>
      <c r="F45" s="2" t="s">
        <v>91</v>
      </c>
      <c r="G45" s="2" t="s">
        <v>68</v>
      </c>
      <c r="H45" s="2" t="s">
        <v>68</v>
      </c>
      <c r="I45" s="2" t="s">
        <v>68</v>
      </c>
      <c r="J45" s="2" t="s">
        <v>70</v>
      </c>
      <c r="L45" s="2" t="s">
        <v>223</v>
      </c>
      <c r="O45" t="s">
        <v>72</v>
      </c>
      <c r="P45" s="2">
        <v>570376216</v>
      </c>
      <c r="R45" s="2">
        <v>10100</v>
      </c>
      <c r="S45" s="4">
        <f t="shared" si="0"/>
        <v>11413</v>
      </c>
      <c r="T45" s="4">
        <v>-97</v>
      </c>
      <c r="U45" s="4">
        <f t="shared" si="1"/>
        <v>342.39</v>
      </c>
      <c r="V45" s="5">
        <v>0.624</v>
      </c>
      <c r="W45" s="6">
        <v>0.61</v>
      </c>
      <c r="AU45" s="3" t="s">
        <v>73</v>
      </c>
      <c r="AW45" s="2" t="s">
        <v>93</v>
      </c>
      <c r="AZ45" t="s">
        <v>224</v>
      </c>
      <c r="BB45" s="7" t="s">
        <v>225</v>
      </c>
    </row>
    <row r="46" ht="15.75" spans="1:54">
      <c r="A46" s="2" t="s">
        <v>226</v>
      </c>
      <c r="B46" s="3" t="s">
        <v>63</v>
      </c>
      <c r="C46" s="2" t="s">
        <v>107</v>
      </c>
      <c r="D46" s="2">
        <v>1.11</v>
      </c>
      <c r="E46" s="2" t="s">
        <v>65</v>
      </c>
      <c r="F46" s="2" t="s">
        <v>91</v>
      </c>
      <c r="G46" s="2" t="s">
        <v>68</v>
      </c>
      <c r="H46" s="2" t="s">
        <v>68</v>
      </c>
      <c r="I46" s="2" t="s">
        <v>68</v>
      </c>
      <c r="J46" s="2" t="s">
        <v>70</v>
      </c>
      <c r="L46" s="2" t="s">
        <v>227</v>
      </c>
      <c r="O46" t="s">
        <v>72</v>
      </c>
      <c r="P46" s="2">
        <v>571301021</v>
      </c>
      <c r="R46" s="2">
        <v>10900</v>
      </c>
      <c r="S46" s="4">
        <f t="shared" si="0"/>
        <v>12099</v>
      </c>
      <c r="T46" s="4">
        <v>-97</v>
      </c>
      <c r="U46" s="4">
        <f t="shared" si="1"/>
        <v>362.97</v>
      </c>
      <c r="V46" s="5">
        <v>0.621</v>
      </c>
      <c r="W46" s="5">
        <v>0.575</v>
      </c>
      <c r="AU46" s="3" t="s">
        <v>73</v>
      </c>
      <c r="AW46" s="2" t="s">
        <v>93</v>
      </c>
      <c r="AZ46" t="s">
        <v>228</v>
      </c>
      <c r="BB46" s="7" t="s">
        <v>229</v>
      </c>
    </row>
    <row r="47" ht="15.75" spans="1:54">
      <c r="A47" s="2" t="s">
        <v>230</v>
      </c>
      <c r="B47" s="3" t="s">
        <v>63</v>
      </c>
      <c r="C47" s="2" t="s">
        <v>107</v>
      </c>
      <c r="D47" s="2">
        <v>1.11</v>
      </c>
      <c r="E47" s="2" t="s">
        <v>63</v>
      </c>
      <c r="F47" s="2" t="s">
        <v>91</v>
      </c>
      <c r="G47" s="2" t="s">
        <v>68</v>
      </c>
      <c r="H47" s="2" t="s">
        <v>68</v>
      </c>
      <c r="I47" s="2" t="s">
        <v>68</v>
      </c>
      <c r="J47" s="2" t="s">
        <v>70</v>
      </c>
      <c r="L47" s="2" t="s">
        <v>231</v>
      </c>
      <c r="O47" t="s">
        <v>72</v>
      </c>
      <c r="P47" s="2">
        <v>549294151</v>
      </c>
      <c r="R47" s="2">
        <v>10100</v>
      </c>
      <c r="S47" s="4">
        <f t="shared" si="0"/>
        <v>11211</v>
      </c>
      <c r="T47" s="4">
        <v>-97</v>
      </c>
      <c r="U47" s="4">
        <f t="shared" si="1"/>
        <v>336.33</v>
      </c>
      <c r="V47" s="5">
        <v>0.628</v>
      </c>
      <c r="W47" s="5">
        <v>0.595</v>
      </c>
      <c r="AU47" s="3" t="s">
        <v>73</v>
      </c>
      <c r="AW47" s="2" t="s">
        <v>74</v>
      </c>
      <c r="AZ47" t="s">
        <v>232</v>
      </c>
      <c r="BB47" s="7" t="str">
        <f>HYPERLINK("","")</f>
        <v/>
      </c>
    </row>
    <row r="48" ht="15.75" spans="1:54">
      <c r="A48" s="2" t="s">
        <v>233</v>
      </c>
      <c r="B48" s="3" t="s">
        <v>63</v>
      </c>
      <c r="C48" s="2" t="s">
        <v>107</v>
      </c>
      <c r="D48" s="2">
        <v>1.1</v>
      </c>
      <c r="E48" s="2" t="s">
        <v>63</v>
      </c>
      <c r="F48" s="2" t="s">
        <v>66</v>
      </c>
      <c r="G48" s="2" t="s">
        <v>68</v>
      </c>
      <c r="H48" s="2" t="s">
        <v>68</v>
      </c>
      <c r="I48" s="2" t="s">
        <v>68</v>
      </c>
      <c r="J48" s="2" t="s">
        <v>70</v>
      </c>
      <c r="L48" s="2" t="s">
        <v>234</v>
      </c>
      <c r="O48" t="s">
        <v>72</v>
      </c>
      <c r="P48" s="2">
        <v>570376199</v>
      </c>
      <c r="R48" s="2">
        <v>8800</v>
      </c>
      <c r="S48" s="4">
        <f t="shared" si="0"/>
        <v>9680</v>
      </c>
      <c r="T48" s="4">
        <v>-97</v>
      </c>
      <c r="U48" s="4">
        <f t="shared" si="1"/>
        <v>290.4</v>
      </c>
      <c r="V48" s="5">
        <v>0.602</v>
      </c>
      <c r="W48" s="6">
        <v>0.61</v>
      </c>
      <c r="AU48" s="3" t="s">
        <v>73</v>
      </c>
      <c r="AW48" s="2" t="s">
        <v>93</v>
      </c>
      <c r="AZ48" t="s">
        <v>235</v>
      </c>
      <c r="BB48" s="7" t="str">
        <f>HYPERLINK("https://v360.in/diamondview.aspx?cid=preet&amp;d=HN-148-57","https://v360.in/diamondview.aspx?cid=preet&amp;d=HN-148-57")</f>
        <v>https://v360.in/diamondview.aspx?cid=preet&amp;d=HN-148-57</v>
      </c>
    </row>
    <row r="49" ht="15.75" spans="1:54">
      <c r="A49" s="2" t="s">
        <v>236</v>
      </c>
      <c r="B49" s="3" t="s">
        <v>63</v>
      </c>
      <c r="C49" s="2" t="s">
        <v>107</v>
      </c>
      <c r="D49" s="2">
        <v>1.1</v>
      </c>
      <c r="E49" s="2" t="s">
        <v>63</v>
      </c>
      <c r="F49" s="2" t="s">
        <v>91</v>
      </c>
      <c r="G49" s="2" t="s">
        <v>68</v>
      </c>
      <c r="H49" s="2" t="s">
        <v>68</v>
      </c>
      <c r="I49" s="2" t="s">
        <v>68</v>
      </c>
      <c r="J49" s="2" t="s">
        <v>70</v>
      </c>
      <c r="L49" s="2" t="s">
        <v>237</v>
      </c>
      <c r="O49" t="s">
        <v>72</v>
      </c>
      <c r="P49" s="2">
        <v>570376223</v>
      </c>
      <c r="R49" s="2">
        <v>10100</v>
      </c>
      <c r="S49" s="4">
        <f t="shared" si="0"/>
        <v>11110</v>
      </c>
      <c r="T49" s="4">
        <v>-97</v>
      </c>
      <c r="U49" s="4">
        <f t="shared" si="1"/>
        <v>333.3</v>
      </c>
      <c r="V49" s="5">
        <v>0.614</v>
      </c>
      <c r="W49" s="5">
        <v>0.595</v>
      </c>
      <c r="AU49" s="3" t="s">
        <v>73</v>
      </c>
      <c r="AW49" s="2" t="s">
        <v>93</v>
      </c>
      <c r="AZ49" t="s">
        <v>238</v>
      </c>
      <c r="BB49" s="7" t="str">
        <f>HYPERLINK("https://v360.in/diamondview.aspx?cid=preet&amp;d=HN-142-116","https://v360.in/diamondview.aspx?cid=preet&amp;d=HN-142-116")</f>
        <v>https://v360.in/diamondview.aspx?cid=preet&amp;d=HN-142-116</v>
      </c>
    </row>
    <row r="50" ht="15.75" spans="1:54">
      <c r="A50" s="2" t="s">
        <v>239</v>
      </c>
      <c r="B50" s="3" t="s">
        <v>63</v>
      </c>
      <c r="C50" s="2" t="s">
        <v>107</v>
      </c>
      <c r="D50" s="2">
        <v>1.09</v>
      </c>
      <c r="E50" s="2" t="s">
        <v>119</v>
      </c>
      <c r="F50" s="2" t="s">
        <v>91</v>
      </c>
      <c r="G50" s="2" t="s">
        <v>68</v>
      </c>
      <c r="H50" s="2" t="s">
        <v>68</v>
      </c>
      <c r="I50" s="2" t="s">
        <v>68</v>
      </c>
      <c r="J50" s="2" t="s">
        <v>70</v>
      </c>
      <c r="L50" s="2" t="s">
        <v>240</v>
      </c>
      <c r="O50" t="s">
        <v>72</v>
      </c>
      <c r="P50" s="2">
        <v>561278588</v>
      </c>
      <c r="R50" s="2">
        <v>11700</v>
      </c>
      <c r="S50" s="4">
        <f t="shared" si="0"/>
        <v>12753</v>
      </c>
      <c r="T50" s="4">
        <v>-97</v>
      </c>
      <c r="U50" s="4">
        <f t="shared" si="1"/>
        <v>382.59</v>
      </c>
      <c r="V50" s="5">
        <v>0.622</v>
      </c>
      <c r="W50" s="2">
        <v>58</v>
      </c>
      <c r="AU50" s="3" t="s">
        <v>73</v>
      </c>
      <c r="AW50" s="2" t="s">
        <v>93</v>
      </c>
      <c r="AZ50" t="s">
        <v>241</v>
      </c>
      <c r="BB50" s="7" t="str">
        <f>HYPERLINK("https://v360.in/diamondview.aspx?cid=preet&amp;d=HN-129-94","https://v360.in/diamondview.aspx?cid=preet&amp;d=HN-129-94")</f>
        <v>https://v360.in/diamondview.aspx?cid=preet&amp;d=HN-129-94</v>
      </c>
    </row>
    <row r="51" ht="15.75" spans="1:54">
      <c r="A51" s="2" t="s">
        <v>242</v>
      </c>
      <c r="B51" s="3" t="s">
        <v>63</v>
      </c>
      <c r="C51" s="2" t="s">
        <v>107</v>
      </c>
      <c r="D51" s="2">
        <v>1.09</v>
      </c>
      <c r="E51" s="2" t="s">
        <v>119</v>
      </c>
      <c r="F51" s="2" t="s">
        <v>91</v>
      </c>
      <c r="G51" s="2" t="s">
        <v>68</v>
      </c>
      <c r="H51" s="2" t="s">
        <v>68</v>
      </c>
      <c r="I51" s="2" t="s">
        <v>68</v>
      </c>
      <c r="J51" s="2" t="s">
        <v>70</v>
      </c>
      <c r="L51" s="2" t="s">
        <v>243</v>
      </c>
      <c r="O51" t="s">
        <v>72</v>
      </c>
      <c r="P51" s="2">
        <v>567356389</v>
      </c>
      <c r="R51" s="2">
        <v>11700</v>
      </c>
      <c r="S51" s="4">
        <f t="shared" si="0"/>
        <v>12753</v>
      </c>
      <c r="T51" s="4">
        <v>-97</v>
      </c>
      <c r="U51" s="4">
        <f t="shared" si="1"/>
        <v>382.59</v>
      </c>
      <c r="V51" s="5">
        <v>0.624</v>
      </c>
      <c r="W51" s="5">
        <v>0.575</v>
      </c>
      <c r="AU51" s="3" t="s">
        <v>73</v>
      </c>
      <c r="AW51" s="2" t="s">
        <v>93</v>
      </c>
      <c r="AZ51" t="s">
        <v>244</v>
      </c>
      <c r="BB51" s="7" t="str">
        <f>HYPERLINK("https://v360.in/diamondview.aspx?cid=preet&amp;d=HN-136-107","https://v360.in/diamondview.aspx?cid=preet&amp;d=HN-136-107")</f>
        <v>https://v360.in/diamondview.aspx?cid=preet&amp;d=HN-136-107</v>
      </c>
    </row>
    <row r="52" ht="15.75" spans="1:54">
      <c r="A52" s="2" t="s">
        <v>245</v>
      </c>
      <c r="B52" s="3" t="s">
        <v>63</v>
      </c>
      <c r="C52" s="2" t="s">
        <v>107</v>
      </c>
      <c r="D52" s="2">
        <v>1.08</v>
      </c>
      <c r="E52" s="2" t="s">
        <v>65</v>
      </c>
      <c r="F52" s="2" t="s">
        <v>143</v>
      </c>
      <c r="G52" s="2" t="s">
        <v>68</v>
      </c>
      <c r="H52" s="2" t="s">
        <v>68</v>
      </c>
      <c r="I52" s="2" t="s">
        <v>68</v>
      </c>
      <c r="J52" s="2" t="s">
        <v>70</v>
      </c>
      <c r="L52" s="2" t="s">
        <v>246</v>
      </c>
      <c r="O52" t="s">
        <v>72</v>
      </c>
      <c r="P52" s="2">
        <v>566393797</v>
      </c>
      <c r="R52" s="2">
        <v>12200</v>
      </c>
      <c r="S52" s="4">
        <f t="shared" si="0"/>
        <v>13176</v>
      </c>
      <c r="T52" s="4">
        <v>-97</v>
      </c>
      <c r="U52" s="4">
        <f t="shared" si="1"/>
        <v>395.28</v>
      </c>
      <c r="V52" s="5">
        <v>0.618</v>
      </c>
      <c r="W52" s="6">
        <v>0.56</v>
      </c>
      <c r="AU52" s="3" t="s">
        <v>73</v>
      </c>
      <c r="AW52" s="2" t="s">
        <v>93</v>
      </c>
      <c r="AZ52" t="s">
        <v>247</v>
      </c>
      <c r="BB52" s="7" t="str">
        <f>HYPERLINK("https://v360.in/diamondview.aspx?cid=preet&amp;d=HN-135-68","https://v360.in/diamondview.aspx?cid=preet&amp;d=HN-135-68")</f>
        <v>https://v360.in/diamondview.aspx?cid=preet&amp;d=HN-135-68</v>
      </c>
    </row>
    <row r="53" ht="15.75" spans="1:54">
      <c r="A53" s="2" t="s">
        <v>248</v>
      </c>
      <c r="B53" s="3" t="s">
        <v>63</v>
      </c>
      <c r="C53" s="2" t="s">
        <v>107</v>
      </c>
      <c r="D53" s="2">
        <v>1.06</v>
      </c>
      <c r="E53" s="2" t="s">
        <v>65</v>
      </c>
      <c r="F53" s="2" t="s">
        <v>91</v>
      </c>
      <c r="G53" s="2" t="s">
        <v>68</v>
      </c>
      <c r="H53" s="2" t="s">
        <v>68</v>
      </c>
      <c r="I53" s="2" t="s">
        <v>68</v>
      </c>
      <c r="J53" s="2" t="s">
        <v>70</v>
      </c>
      <c r="L53" s="2" t="s">
        <v>249</v>
      </c>
      <c r="O53" t="s">
        <v>72</v>
      </c>
      <c r="P53" s="2">
        <v>569328560</v>
      </c>
      <c r="R53" s="2">
        <v>10900</v>
      </c>
      <c r="S53" s="4">
        <f t="shared" si="0"/>
        <v>11554</v>
      </c>
      <c r="T53" s="4">
        <v>-97</v>
      </c>
      <c r="U53" s="4">
        <f t="shared" si="1"/>
        <v>346.62</v>
      </c>
      <c r="V53" s="5">
        <v>0.632</v>
      </c>
      <c r="W53" s="6">
        <v>0.58</v>
      </c>
      <c r="AU53" s="3" t="s">
        <v>73</v>
      </c>
      <c r="AW53" s="2" t="s">
        <v>93</v>
      </c>
      <c r="AZ53" t="s">
        <v>250</v>
      </c>
      <c r="BB53" s="7" t="str">
        <f>HYPERLINK("https://v360.in/diamondview.aspx?cid=preet&amp;d=HN-137-115","https://v360.in/diamondview.aspx?cid=preet&amp;d=HN-137-115")</f>
        <v>https://v360.in/diamondview.aspx?cid=preet&amp;d=HN-137-115</v>
      </c>
    </row>
    <row r="54" ht="15.75" spans="1:54">
      <c r="A54" s="2" t="s">
        <v>251</v>
      </c>
      <c r="B54" s="3" t="s">
        <v>63</v>
      </c>
      <c r="C54" s="2" t="s">
        <v>107</v>
      </c>
      <c r="D54" s="2">
        <v>1.05</v>
      </c>
      <c r="E54" s="2" t="s">
        <v>65</v>
      </c>
      <c r="F54" s="2" t="s">
        <v>66</v>
      </c>
      <c r="G54" s="2" t="s">
        <v>68</v>
      </c>
      <c r="H54" s="2" t="s">
        <v>68</v>
      </c>
      <c r="I54" s="2" t="s">
        <v>68</v>
      </c>
      <c r="J54" s="2" t="s">
        <v>70</v>
      </c>
      <c r="L54" s="2" t="s">
        <v>252</v>
      </c>
      <c r="O54" t="s">
        <v>72</v>
      </c>
      <c r="P54" s="2">
        <v>564365277</v>
      </c>
      <c r="R54" s="2">
        <v>9400</v>
      </c>
      <c r="S54" s="4">
        <f t="shared" si="0"/>
        <v>9870</v>
      </c>
      <c r="T54" s="4">
        <v>-97</v>
      </c>
      <c r="U54" s="4">
        <f t="shared" si="1"/>
        <v>296.1</v>
      </c>
      <c r="V54" s="5">
        <v>0.617</v>
      </c>
      <c r="W54" s="5">
        <v>0.555</v>
      </c>
      <c r="AU54" s="3" t="s">
        <v>73</v>
      </c>
      <c r="AW54" s="2" t="s">
        <v>93</v>
      </c>
      <c r="AZ54" t="s">
        <v>253</v>
      </c>
      <c r="BB54" s="7" t="str">
        <f>HYPERLINK("https://v360.in/diamondview.aspx?cid=preet&amp;d=HN-134-107","https://v360.in/diamondview.aspx?cid=preet&amp;d=HN-134-107")</f>
        <v>https://v360.in/diamondview.aspx?cid=preet&amp;d=HN-134-107</v>
      </c>
    </row>
    <row r="55" ht="15.75" spans="1:54">
      <c r="A55" s="2" t="s">
        <v>254</v>
      </c>
      <c r="B55" s="3" t="s">
        <v>63</v>
      </c>
      <c r="C55" s="2" t="s">
        <v>107</v>
      </c>
      <c r="D55" s="2">
        <v>1.04</v>
      </c>
      <c r="E55" s="2" t="s">
        <v>65</v>
      </c>
      <c r="F55" s="2" t="s">
        <v>91</v>
      </c>
      <c r="G55" s="2" t="s">
        <v>68</v>
      </c>
      <c r="H55" s="2" t="s">
        <v>68</v>
      </c>
      <c r="I55" s="2" t="s">
        <v>68</v>
      </c>
      <c r="J55" s="2" t="s">
        <v>70</v>
      </c>
      <c r="L55" s="2" t="s">
        <v>255</v>
      </c>
      <c r="O55" t="s">
        <v>72</v>
      </c>
      <c r="P55" s="2">
        <v>569328557</v>
      </c>
      <c r="R55" s="2">
        <v>10900</v>
      </c>
      <c r="S55" s="4">
        <f t="shared" si="0"/>
        <v>11336</v>
      </c>
      <c r="T55" s="4">
        <v>-97</v>
      </c>
      <c r="U55" s="4">
        <f t="shared" si="1"/>
        <v>340.08</v>
      </c>
      <c r="V55" s="5">
        <v>0.633</v>
      </c>
      <c r="W55" s="6">
        <v>0.58</v>
      </c>
      <c r="AU55" s="3" t="s">
        <v>73</v>
      </c>
      <c r="AW55" s="2" t="s">
        <v>93</v>
      </c>
      <c r="AZ55" t="s">
        <v>256</v>
      </c>
      <c r="BB55" s="7" t="str">
        <f>HYPERLINK("https://v360.in/diamondview.aspx?cid=preet&amp;d=HN-137-96","https://v360.in/diamondview.aspx?cid=preet&amp;d=HN-137-96")</f>
        <v>https://v360.in/diamondview.aspx?cid=preet&amp;d=HN-137-96</v>
      </c>
    </row>
    <row r="56" ht="15.75" spans="1:54">
      <c r="A56" s="2" t="s">
        <v>257</v>
      </c>
      <c r="B56" s="3" t="s">
        <v>63</v>
      </c>
      <c r="C56" s="2" t="s">
        <v>107</v>
      </c>
      <c r="D56" s="2">
        <v>1.04</v>
      </c>
      <c r="E56" s="2" t="s">
        <v>65</v>
      </c>
      <c r="F56" s="2" t="s">
        <v>91</v>
      </c>
      <c r="G56" s="2" t="s">
        <v>68</v>
      </c>
      <c r="H56" s="2" t="s">
        <v>68</v>
      </c>
      <c r="I56" s="2" t="s">
        <v>68</v>
      </c>
      <c r="J56" s="2" t="s">
        <v>70</v>
      </c>
      <c r="L56" s="2" t="s">
        <v>258</v>
      </c>
      <c r="O56" t="s">
        <v>72</v>
      </c>
      <c r="P56" s="2">
        <v>571301016</v>
      </c>
      <c r="R56" s="2">
        <v>10900</v>
      </c>
      <c r="S56" s="4">
        <f t="shared" si="0"/>
        <v>11336</v>
      </c>
      <c r="T56" s="4">
        <v>-97</v>
      </c>
      <c r="U56" s="4">
        <f t="shared" si="1"/>
        <v>340.08</v>
      </c>
      <c r="V56" s="5">
        <v>0.614</v>
      </c>
      <c r="W56" s="5">
        <v>0.585</v>
      </c>
      <c r="AU56" s="3" t="s">
        <v>73</v>
      </c>
      <c r="AW56" s="2" t="s">
        <v>93</v>
      </c>
      <c r="AZ56" t="s">
        <v>259</v>
      </c>
      <c r="BB56" s="7" t="s">
        <v>260</v>
      </c>
    </row>
    <row r="57" ht="15.75" spans="1:54">
      <c r="A57" s="2" t="s">
        <v>261</v>
      </c>
      <c r="B57" s="3" t="s">
        <v>63</v>
      </c>
      <c r="C57" s="2" t="s">
        <v>107</v>
      </c>
      <c r="D57" s="2">
        <v>1.03</v>
      </c>
      <c r="E57" s="2" t="s">
        <v>65</v>
      </c>
      <c r="F57" s="2" t="s">
        <v>91</v>
      </c>
      <c r="G57" s="2" t="s">
        <v>68</v>
      </c>
      <c r="H57" s="2" t="s">
        <v>68</v>
      </c>
      <c r="I57" s="2" t="s">
        <v>68</v>
      </c>
      <c r="J57" s="2" t="s">
        <v>70</v>
      </c>
      <c r="L57" s="2" t="s">
        <v>262</v>
      </c>
      <c r="O57" t="s">
        <v>72</v>
      </c>
      <c r="P57" s="2">
        <v>570370820</v>
      </c>
      <c r="R57" s="2">
        <v>10900</v>
      </c>
      <c r="S57" s="4">
        <f t="shared" si="0"/>
        <v>11227</v>
      </c>
      <c r="T57" s="4">
        <v>-97</v>
      </c>
      <c r="U57" s="4">
        <f t="shared" si="1"/>
        <v>336.81</v>
      </c>
      <c r="V57" s="5">
        <v>0.597</v>
      </c>
      <c r="W57" s="6">
        <v>0.61</v>
      </c>
      <c r="AU57" s="3" t="s">
        <v>73</v>
      </c>
      <c r="AW57" s="2" t="s">
        <v>93</v>
      </c>
      <c r="AZ57" t="s">
        <v>263</v>
      </c>
      <c r="BB57" s="7" t="str">
        <f>HYPERLINK("https://v360.in/diamondview.aspx?cid=preet&amp;d=HN-149-38","https://v360.in/diamondview.aspx?cid=preet&amp;d=HN-149-38")</f>
        <v>https://v360.in/diamondview.aspx?cid=preet&amp;d=HN-149-38</v>
      </c>
    </row>
    <row r="58" ht="15.75" spans="1:54">
      <c r="A58" s="2" t="s">
        <v>264</v>
      </c>
      <c r="B58" s="3" t="s">
        <v>63</v>
      </c>
      <c r="C58" s="2" t="s">
        <v>107</v>
      </c>
      <c r="D58" s="2">
        <v>1.02</v>
      </c>
      <c r="E58" s="2" t="s">
        <v>119</v>
      </c>
      <c r="F58" s="2" t="s">
        <v>91</v>
      </c>
      <c r="G58" s="2" t="s">
        <v>68</v>
      </c>
      <c r="H58" s="2" t="s">
        <v>68</v>
      </c>
      <c r="I58" s="2" t="s">
        <v>68</v>
      </c>
      <c r="J58" s="2" t="s">
        <v>70</v>
      </c>
      <c r="L58" s="2" t="s">
        <v>265</v>
      </c>
      <c r="O58" t="s">
        <v>72</v>
      </c>
      <c r="P58" s="2">
        <v>567356386</v>
      </c>
      <c r="R58" s="2">
        <v>11700</v>
      </c>
      <c r="S58" s="4">
        <f t="shared" si="0"/>
        <v>11934</v>
      </c>
      <c r="T58" s="4">
        <v>-97</v>
      </c>
      <c r="U58" s="4">
        <f t="shared" si="1"/>
        <v>358.02</v>
      </c>
      <c r="V58" s="5">
        <v>0.615</v>
      </c>
      <c r="W58" s="6">
        <v>0.58</v>
      </c>
      <c r="AU58" s="3" t="s">
        <v>73</v>
      </c>
      <c r="AW58" s="2" t="s">
        <v>93</v>
      </c>
      <c r="AZ58" t="s">
        <v>266</v>
      </c>
      <c r="BB58" s="7" t="str">
        <f>HYPERLINK("https://v360.in/diamondview.aspx?cid=preet&amp;d=HN-136-108","https://v360.in/diamondview.aspx?cid=preet&amp;d=HN-136-108")</f>
        <v>https://v360.in/diamondview.aspx?cid=preet&amp;d=HN-136-108</v>
      </c>
    </row>
    <row r="59" ht="15.75" spans="1:54">
      <c r="A59" s="2" t="s">
        <v>267</v>
      </c>
      <c r="B59" s="3" t="s">
        <v>63</v>
      </c>
      <c r="C59" s="2" t="s">
        <v>107</v>
      </c>
      <c r="D59" s="2">
        <v>1.02</v>
      </c>
      <c r="E59" s="2" t="s">
        <v>65</v>
      </c>
      <c r="F59" s="2" t="s">
        <v>91</v>
      </c>
      <c r="G59" s="2" t="s">
        <v>68</v>
      </c>
      <c r="H59" s="2" t="s">
        <v>68</v>
      </c>
      <c r="I59" s="2" t="s">
        <v>68</v>
      </c>
      <c r="J59" s="2" t="s">
        <v>70</v>
      </c>
      <c r="L59" s="2" t="s">
        <v>268</v>
      </c>
      <c r="O59" t="s">
        <v>72</v>
      </c>
      <c r="P59" s="2">
        <v>570376226</v>
      </c>
      <c r="R59" s="2">
        <v>10900</v>
      </c>
      <c r="S59" s="4">
        <f t="shared" si="0"/>
        <v>11118</v>
      </c>
      <c r="T59" s="4">
        <v>-97</v>
      </c>
      <c r="U59" s="4">
        <f t="shared" si="1"/>
        <v>333.54</v>
      </c>
      <c r="V59" s="5">
        <v>0.629</v>
      </c>
      <c r="W59" s="6">
        <v>0.61</v>
      </c>
      <c r="AU59" s="3" t="s">
        <v>73</v>
      </c>
      <c r="AW59" s="2" t="s">
        <v>93</v>
      </c>
      <c r="AZ59" t="s">
        <v>269</v>
      </c>
      <c r="BB59" s="7" t="str">
        <f>HYPERLINK("https://v360.in/diamondview.aspx?cid=preet&amp;d=HN-142-106","https://v360.in/diamondview.aspx?cid=preet&amp;d=HN-142-106")</f>
        <v>https://v360.in/diamondview.aspx?cid=preet&amp;d=HN-142-106</v>
      </c>
    </row>
    <row r="60" ht="15.75" spans="1:54">
      <c r="A60" s="2" t="s">
        <v>270</v>
      </c>
      <c r="B60" s="3" t="s">
        <v>63</v>
      </c>
      <c r="C60" s="2" t="s">
        <v>107</v>
      </c>
      <c r="D60" s="2">
        <v>1.02</v>
      </c>
      <c r="E60" s="2" t="s">
        <v>65</v>
      </c>
      <c r="F60" s="2" t="s">
        <v>155</v>
      </c>
      <c r="G60" s="2" t="s">
        <v>68</v>
      </c>
      <c r="H60" s="2" t="s">
        <v>68</v>
      </c>
      <c r="I60" s="2" t="s">
        <v>68</v>
      </c>
      <c r="J60" s="2" t="s">
        <v>70</v>
      </c>
      <c r="L60" s="2" t="s">
        <v>271</v>
      </c>
      <c r="O60" t="s">
        <v>72</v>
      </c>
      <c r="P60" s="2">
        <v>569328562</v>
      </c>
      <c r="R60" s="2">
        <v>7500</v>
      </c>
      <c r="S60" s="4">
        <f t="shared" si="0"/>
        <v>7650</v>
      </c>
      <c r="T60" s="4">
        <v>-97</v>
      </c>
      <c r="U60" s="4">
        <f t="shared" si="1"/>
        <v>229.5</v>
      </c>
      <c r="V60" s="5">
        <v>0.629</v>
      </c>
      <c r="W60" s="5">
        <v>0.565</v>
      </c>
      <c r="AU60" s="3" t="s">
        <v>73</v>
      </c>
      <c r="AW60" s="2" t="s">
        <v>93</v>
      </c>
      <c r="AZ60" t="s">
        <v>272</v>
      </c>
      <c r="BB60" s="7" t="str">
        <f>HYPERLINK("https://v360.in/diamondview.aspx?cid=preet&amp;d=HN-137-135","https://v360.in/diamondview.aspx?cid=preet&amp;d=HN-137-135")</f>
        <v>https://v360.in/diamondview.aspx?cid=preet&amp;d=HN-137-135</v>
      </c>
    </row>
    <row r="61" ht="15.75" spans="1:54">
      <c r="A61" s="2" t="s">
        <v>273</v>
      </c>
      <c r="B61" s="3" t="s">
        <v>63</v>
      </c>
      <c r="C61" s="2" t="s">
        <v>107</v>
      </c>
      <c r="D61" s="2">
        <v>1.02</v>
      </c>
      <c r="E61" s="2" t="s">
        <v>63</v>
      </c>
      <c r="F61" s="2" t="s">
        <v>91</v>
      </c>
      <c r="G61" s="2" t="s">
        <v>68</v>
      </c>
      <c r="H61" s="2" t="s">
        <v>68</v>
      </c>
      <c r="I61" s="2" t="s">
        <v>68</v>
      </c>
      <c r="J61" s="2" t="s">
        <v>70</v>
      </c>
      <c r="L61" s="2" t="s">
        <v>274</v>
      </c>
      <c r="O61" t="s">
        <v>72</v>
      </c>
      <c r="P61" s="2">
        <v>570370828</v>
      </c>
      <c r="R61" s="2">
        <v>10100</v>
      </c>
      <c r="S61" s="4">
        <f t="shared" si="0"/>
        <v>10302</v>
      </c>
      <c r="T61" s="4">
        <v>-97</v>
      </c>
      <c r="U61" s="4">
        <f t="shared" si="1"/>
        <v>309.06</v>
      </c>
      <c r="V61" s="5">
        <v>0.625</v>
      </c>
      <c r="W61" s="6">
        <v>0.56</v>
      </c>
      <c r="AU61" s="3" t="s">
        <v>73</v>
      </c>
      <c r="AW61" s="2" t="s">
        <v>93</v>
      </c>
      <c r="AZ61" t="s">
        <v>275</v>
      </c>
      <c r="BB61" s="7" t="str">
        <f>HYPERLINK("https://v360.in/diamondview.aspx?cid=preet&amp;d=HN-147-38","https://v360.in/diamondview.aspx?cid=preet&amp;d=HN-147-38")</f>
        <v>https://v360.in/diamondview.aspx?cid=preet&amp;d=HN-147-38</v>
      </c>
    </row>
    <row r="62" ht="15.75" spans="1:54">
      <c r="A62" s="2" t="s">
        <v>276</v>
      </c>
      <c r="B62" s="3" t="s">
        <v>63</v>
      </c>
      <c r="C62" s="2" t="s">
        <v>107</v>
      </c>
      <c r="D62" s="2">
        <v>1.01</v>
      </c>
      <c r="E62" s="2" t="s">
        <v>119</v>
      </c>
      <c r="F62" s="2" t="s">
        <v>91</v>
      </c>
      <c r="G62" s="2" t="s">
        <v>68</v>
      </c>
      <c r="H62" s="2" t="s">
        <v>68</v>
      </c>
      <c r="I62" s="2" t="s">
        <v>68</v>
      </c>
      <c r="J62" s="2" t="s">
        <v>70</v>
      </c>
      <c r="L62" s="2" t="s">
        <v>277</v>
      </c>
      <c r="O62" t="s">
        <v>72</v>
      </c>
      <c r="P62" s="2">
        <v>570376217</v>
      </c>
      <c r="R62" s="2">
        <v>11700</v>
      </c>
      <c r="S62" s="4">
        <f t="shared" si="0"/>
        <v>11817</v>
      </c>
      <c r="T62" s="4">
        <v>-97</v>
      </c>
      <c r="U62" s="4">
        <f t="shared" si="1"/>
        <v>354.51</v>
      </c>
      <c r="V62" s="5">
        <v>0.609</v>
      </c>
      <c r="W62" s="5">
        <v>0.615</v>
      </c>
      <c r="AU62" s="3" t="s">
        <v>73</v>
      </c>
      <c r="AW62" s="2" t="s">
        <v>93</v>
      </c>
      <c r="AZ62" t="s">
        <v>278</v>
      </c>
      <c r="BB62" s="7" t="str">
        <f>HYPERLINK("https://v360.in/diamondview.aspx?cid=preet&amp;d=HN-142-87","https://v360.in/diamondview.aspx?cid=preet&amp;d=HN-142-87")</f>
        <v>https://v360.in/diamondview.aspx?cid=preet&amp;d=HN-142-87</v>
      </c>
    </row>
    <row r="63" ht="15.75" spans="1:54">
      <c r="A63" s="2" t="s">
        <v>279</v>
      </c>
      <c r="B63" s="3" t="s">
        <v>63</v>
      </c>
      <c r="C63" s="2" t="s">
        <v>107</v>
      </c>
      <c r="D63" s="2">
        <v>1.01</v>
      </c>
      <c r="E63" s="2" t="s">
        <v>65</v>
      </c>
      <c r="F63" s="2" t="s">
        <v>66</v>
      </c>
      <c r="G63" s="2" t="s">
        <v>68</v>
      </c>
      <c r="H63" s="2" t="s">
        <v>68</v>
      </c>
      <c r="I63" s="2" t="s">
        <v>68</v>
      </c>
      <c r="J63" s="2" t="s">
        <v>70</v>
      </c>
      <c r="L63" s="2" t="s">
        <v>280</v>
      </c>
      <c r="O63" t="s">
        <v>72</v>
      </c>
      <c r="P63" s="2">
        <v>569328559</v>
      </c>
      <c r="R63" s="2">
        <v>9400</v>
      </c>
      <c r="S63" s="4">
        <f t="shared" si="0"/>
        <v>9494</v>
      </c>
      <c r="T63" s="4">
        <v>-97</v>
      </c>
      <c r="U63" s="4">
        <f t="shared" si="1"/>
        <v>284.82</v>
      </c>
      <c r="V63" s="5">
        <v>0.606</v>
      </c>
      <c r="W63" s="5">
        <v>0.605</v>
      </c>
      <c r="AU63" s="3" t="s">
        <v>73</v>
      </c>
      <c r="AW63" s="2" t="s">
        <v>93</v>
      </c>
      <c r="AZ63" t="s">
        <v>281</v>
      </c>
      <c r="BB63" s="7" t="str">
        <f>HYPERLINK("https://v360.in/diamondview.aspx?cid=preet&amp;d=HN-137-99","https://v360.in/diamondview.aspx?cid=preet&amp;d=HN-137-99")</f>
        <v>https://v360.in/diamondview.aspx?cid=preet&amp;d=HN-137-99</v>
      </c>
    </row>
    <row r="64" ht="15.75" spans="1:54">
      <c r="A64" s="2" t="s">
        <v>282</v>
      </c>
      <c r="B64" s="3" t="s">
        <v>63</v>
      </c>
      <c r="C64" s="2" t="s">
        <v>107</v>
      </c>
      <c r="D64" s="2">
        <v>1.01</v>
      </c>
      <c r="E64" s="2" t="s">
        <v>65</v>
      </c>
      <c r="F64" s="2" t="s">
        <v>91</v>
      </c>
      <c r="G64" s="2" t="s">
        <v>68</v>
      </c>
      <c r="H64" s="2" t="s">
        <v>68</v>
      </c>
      <c r="I64" s="2" t="s">
        <v>68</v>
      </c>
      <c r="J64" s="2" t="s">
        <v>70</v>
      </c>
      <c r="L64" s="2" t="s">
        <v>283</v>
      </c>
      <c r="O64" t="s">
        <v>72</v>
      </c>
      <c r="P64" s="2">
        <v>564365288</v>
      </c>
      <c r="R64" s="2">
        <v>10900</v>
      </c>
      <c r="S64" s="4">
        <f t="shared" si="0"/>
        <v>11009</v>
      </c>
      <c r="T64" s="4">
        <v>-97</v>
      </c>
      <c r="U64" s="4">
        <f t="shared" si="1"/>
        <v>330.27</v>
      </c>
      <c r="V64" s="5">
        <v>0.593</v>
      </c>
      <c r="W64" s="6">
        <v>0.61</v>
      </c>
      <c r="AU64" s="3" t="s">
        <v>73</v>
      </c>
      <c r="AW64" s="2" t="s">
        <v>93</v>
      </c>
      <c r="AZ64" t="s">
        <v>284</v>
      </c>
      <c r="BB64" s="7" t="str">
        <f>HYPERLINK("https://v360.in/diamondview.aspx?cid=preet&amp;d=HN-134-6","https://v360.in/diamondview.aspx?cid=preet&amp;d=HN-134-6")</f>
        <v>https://v360.in/diamondview.aspx?cid=preet&amp;d=HN-134-6</v>
      </c>
    </row>
    <row r="65" ht="15.75" spans="1:54">
      <c r="A65" s="2" t="s">
        <v>285</v>
      </c>
      <c r="B65" s="3" t="s">
        <v>63</v>
      </c>
      <c r="C65" s="2" t="s">
        <v>107</v>
      </c>
      <c r="D65" s="2">
        <v>1.01</v>
      </c>
      <c r="E65" s="2" t="s">
        <v>63</v>
      </c>
      <c r="F65" s="2" t="s">
        <v>91</v>
      </c>
      <c r="G65" s="2" t="s">
        <v>68</v>
      </c>
      <c r="H65" s="2" t="s">
        <v>68</v>
      </c>
      <c r="I65" s="2" t="s">
        <v>68</v>
      </c>
      <c r="J65" s="2" t="s">
        <v>70</v>
      </c>
      <c r="L65" s="2" t="s">
        <v>286</v>
      </c>
      <c r="O65" t="s">
        <v>72</v>
      </c>
      <c r="P65" s="2">
        <v>570370812</v>
      </c>
      <c r="R65" s="2">
        <v>10100</v>
      </c>
      <c r="S65" s="4">
        <f t="shared" si="0"/>
        <v>10201</v>
      </c>
      <c r="T65" s="4">
        <v>-97</v>
      </c>
      <c r="U65" s="4">
        <f t="shared" si="1"/>
        <v>306.03</v>
      </c>
      <c r="V65" s="5">
        <v>0.603</v>
      </c>
      <c r="W65" s="6">
        <v>0.58</v>
      </c>
      <c r="AU65" s="3" t="s">
        <v>73</v>
      </c>
      <c r="AW65" s="2" t="s">
        <v>93</v>
      </c>
      <c r="AZ65" t="s">
        <v>287</v>
      </c>
      <c r="BB65" s="7" t="str">
        <f>HYPERLINK("https://v360.in/diamondview.aspx?cid=preet&amp;d=HN-149-37","https://v360.in/diamondview.aspx?cid=preet&amp;d=HN-149-37")</f>
        <v>https://v360.in/diamondview.aspx?cid=preet&amp;d=HN-149-37</v>
      </c>
    </row>
    <row r="66" ht="15.75" spans="1:54">
      <c r="A66" s="2" t="s">
        <v>288</v>
      </c>
      <c r="B66" s="3" t="s">
        <v>63</v>
      </c>
      <c r="C66" s="2" t="s">
        <v>107</v>
      </c>
      <c r="D66" s="2">
        <v>1.01</v>
      </c>
      <c r="E66" s="2" t="s">
        <v>63</v>
      </c>
      <c r="F66" s="2" t="s">
        <v>91</v>
      </c>
      <c r="G66" s="2" t="s">
        <v>68</v>
      </c>
      <c r="H66" s="2" t="s">
        <v>68</v>
      </c>
      <c r="I66" s="2" t="s">
        <v>68</v>
      </c>
      <c r="J66" s="2" t="s">
        <v>70</v>
      </c>
      <c r="L66" s="2" t="s">
        <v>289</v>
      </c>
      <c r="O66" t="s">
        <v>72</v>
      </c>
      <c r="P66" s="2">
        <v>567356388</v>
      </c>
      <c r="R66" s="2">
        <v>10100</v>
      </c>
      <c r="S66" s="4">
        <f t="shared" si="0"/>
        <v>10201</v>
      </c>
      <c r="T66" s="4">
        <v>-97</v>
      </c>
      <c r="U66" s="4">
        <f t="shared" si="1"/>
        <v>306.03</v>
      </c>
      <c r="V66" s="6">
        <v>0.63</v>
      </c>
      <c r="W66" s="6">
        <v>0.57</v>
      </c>
      <c r="AU66" s="3" t="s">
        <v>73</v>
      </c>
      <c r="AW66" s="2" t="s">
        <v>93</v>
      </c>
      <c r="AZ66" t="s">
        <v>290</v>
      </c>
      <c r="BB66" s="7" t="str">
        <f>HYPERLINK("https://v360.in/diamondview.aspx?cid=preet&amp;d=HN-136-112","https://v360.in/diamondview.aspx?cid=preet&amp;d=HN-136-112")</f>
        <v>https://v360.in/diamondview.aspx?cid=preet&amp;d=HN-136-112</v>
      </c>
    </row>
    <row r="67" ht="15.75" spans="1:54">
      <c r="A67" s="2" t="s">
        <v>291</v>
      </c>
      <c r="B67" s="3" t="s">
        <v>63</v>
      </c>
      <c r="C67" s="2" t="s">
        <v>107</v>
      </c>
      <c r="D67" s="2">
        <v>1</v>
      </c>
      <c r="E67" s="2" t="s">
        <v>119</v>
      </c>
      <c r="F67" s="2" t="s">
        <v>66</v>
      </c>
      <c r="G67" s="2" t="s">
        <v>68</v>
      </c>
      <c r="H67" s="2" t="s">
        <v>68</v>
      </c>
      <c r="I67" s="2" t="s">
        <v>68</v>
      </c>
      <c r="J67" s="2" t="s">
        <v>70</v>
      </c>
      <c r="L67" s="2" t="s">
        <v>292</v>
      </c>
      <c r="O67" t="s">
        <v>72</v>
      </c>
      <c r="P67" s="2">
        <v>570376225</v>
      </c>
      <c r="R67" s="2">
        <v>10000</v>
      </c>
      <c r="S67" s="4">
        <f t="shared" ref="S67:S130" si="2">R67*D67</f>
        <v>10000</v>
      </c>
      <c r="T67" s="4">
        <v>-97</v>
      </c>
      <c r="U67" s="4">
        <f t="shared" ref="U67:U130" si="3">(R67+(R67*T67)/100)*D67</f>
        <v>300</v>
      </c>
      <c r="V67" s="5">
        <v>0.619</v>
      </c>
      <c r="W67" s="5">
        <v>0.565</v>
      </c>
      <c r="AU67" s="3" t="s">
        <v>73</v>
      </c>
      <c r="AW67" s="2" t="s">
        <v>93</v>
      </c>
      <c r="AZ67" t="s">
        <v>293</v>
      </c>
      <c r="BB67" s="7" t="str">
        <f>HYPERLINK("https://v360.in/diamondview.aspx?cid=preet&amp;d=HN-142-104","https://v360.in/diamondview.aspx?cid=preet&amp;d=HN-142-104")</f>
        <v>https://v360.in/diamondview.aspx?cid=preet&amp;d=HN-142-104</v>
      </c>
    </row>
    <row r="68" ht="15.75" spans="1:54">
      <c r="A68" s="2" t="s">
        <v>294</v>
      </c>
      <c r="B68" s="3" t="s">
        <v>63</v>
      </c>
      <c r="C68" s="2" t="s">
        <v>107</v>
      </c>
      <c r="D68" s="2">
        <v>1</v>
      </c>
      <c r="E68" s="2" t="s">
        <v>65</v>
      </c>
      <c r="F68" s="2" t="s">
        <v>91</v>
      </c>
      <c r="G68" s="2" t="s">
        <v>68</v>
      </c>
      <c r="H68" s="2" t="s">
        <v>68</v>
      </c>
      <c r="I68" s="2" t="s">
        <v>68</v>
      </c>
      <c r="J68" s="2" t="s">
        <v>70</v>
      </c>
      <c r="L68" s="2" t="s">
        <v>295</v>
      </c>
      <c r="O68" t="s">
        <v>72</v>
      </c>
      <c r="P68" s="2">
        <v>564365278</v>
      </c>
      <c r="R68" s="2">
        <v>10900</v>
      </c>
      <c r="S68" s="4">
        <f t="shared" si="2"/>
        <v>10900</v>
      </c>
      <c r="T68" s="4">
        <v>-97</v>
      </c>
      <c r="U68" s="4">
        <f t="shared" si="3"/>
        <v>327</v>
      </c>
      <c r="V68" s="5">
        <v>0.627</v>
      </c>
      <c r="W68" s="5">
        <v>0.555</v>
      </c>
      <c r="AU68" s="3" t="s">
        <v>73</v>
      </c>
      <c r="AW68" s="2" t="s">
        <v>93</v>
      </c>
      <c r="AZ68" t="s">
        <v>296</v>
      </c>
      <c r="BB68" s="7" t="str">
        <f>HYPERLINK("https://v360.in/diamondview.aspx?cid=preet&amp;d=HN-134-93","https://v360.in/diamondview.aspx?cid=preet&amp;d=HN-134-93")</f>
        <v>https://v360.in/diamondview.aspx?cid=preet&amp;d=HN-134-93</v>
      </c>
    </row>
    <row r="69" ht="15.75" spans="1:54">
      <c r="A69" s="2" t="s">
        <v>297</v>
      </c>
      <c r="B69" s="3" t="s">
        <v>63</v>
      </c>
      <c r="C69" s="2" t="s">
        <v>107</v>
      </c>
      <c r="D69" s="2">
        <v>1</v>
      </c>
      <c r="E69" s="2" t="s">
        <v>65</v>
      </c>
      <c r="F69" s="2" t="s">
        <v>91</v>
      </c>
      <c r="G69" s="2" t="s">
        <v>68</v>
      </c>
      <c r="H69" s="2" t="s">
        <v>68</v>
      </c>
      <c r="I69" s="2" t="s">
        <v>68</v>
      </c>
      <c r="J69" s="2" t="s">
        <v>70</v>
      </c>
      <c r="L69" s="2" t="s">
        <v>298</v>
      </c>
      <c r="O69" t="s">
        <v>72</v>
      </c>
      <c r="P69" s="2">
        <v>566393796</v>
      </c>
      <c r="R69" s="2">
        <v>10900</v>
      </c>
      <c r="S69" s="4">
        <f t="shared" si="2"/>
        <v>10900</v>
      </c>
      <c r="T69" s="4">
        <v>-97</v>
      </c>
      <c r="U69" s="4">
        <f t="shared" si="3"/>
        <v>327</v>
      </c>
      <c r="V69" s="5">
        <v>0.597</v>
      </c>
      <c r="W69" s="5">
        <v>0.575</v>
      </c>
      <c r="AU69" s="3" t="s">
        <v>73</v>
      </c>
      <c r="AW69" s="2" t="s">
        <v>93</v>
      </c>
      <c r="AZ69" t="s">
        <v>299</v>
      </c>
      <c r="BB69" s="7" t="str">
        <f>HYPERLINK("https://v360.in/diamondview.aspx?cid=preet&amp;d=HN-135-43","https://v360.in/diamondview.aspx?cid=preet&amp;d=HN-135-43")</f>
        <v>https://v360.in/diamondview.aspx?cid=preet&amp;d=HN-135-43</v>
      </c>
    </row>
    <row r="70" ht="15.75" spans="1:54">
      <c r="A70" s="2" t="s">
        <v>300</v>
      </c>
      <c r="B70" s="3" t="s">
        <v>63</v>
      </c>
      <c r="C70" s="2" t="s">
        <v>107</v>
      </c>
      <c r="D70" s="2">
        <v>1</v>
      </c>
      <c r="E70" s="2" t="s">
        <v>65</v>
      </c>
      <c r="F70" s="2" t="s">
        <v>91</v>
      </c>
      <c r="G70" s="2" t="s">
        <v>68</v>
      </c>
      <c r="H70" s="2" t="s">
        <v>68</v>
      </c>
      <c r="I70" s="2" t="s">
        <v>69</v>
      </c>
      <c r="J70" s="2" t="s">
        <v>70</v>
      </c>
      <c r="L70" s="2" t="s">
        <v>301</v>
      </c>
      <c r="O70" t="s">
        <v>72</v>
      </c>
      <c r="P70" s="2">
        <v>566393800</v>
      </c>
      <c r="R70" s="2">
        <v>10900</v>
      </c>
      <c r="S70" s="4">
        <f t="shared" si="2"/>
        <v>10900</v>
      </c>
      <c r="T70" s="4">
        <v>-97</v>
      </c>
      <c r="U70" s="4">
        <f t="shared" si="3"/>
        <v>327</v>
      </c>
      <c r="V70" s="5">
        <v>0.598</v>
      </c>
      <c r="W70" s="6">
        <v>0.61</v>
      </c>
      <c r="AU70" s="3" t="s">
        <v>73</v>
      </c>
      <c r="AW70" s="2" t="s">
        <v>93</v>
      </c>
      <c r="AZ70" t="s">
        <v>302</v>
      </c>
      <c r="BB70" s="7" t="str">
        <f>HYPERLINK("https://v360.in/diamondview.aspx?cid=preet&amp;d=HN-135-77","https://v360.in/diamondview.aspx?cid=preet&amp;d=HN-135-77")</f>
        <v>https://v360.in/diamondview.aspx?cid=preet&amp;d=HN-135-77</v>
      </c>
    </row>
    <row r="71" ht="15.75" spans="1:54">
      <c r="A71" s="2" t="s">
        <v>303</v>
      </c>
      <c r="B71" s="3" t="s">
        <v>63</v>
      </c>
      <c r="C71" s="2" t="s">
        <v>107</v>
      </c>
      <c r="D71" s="2">
        <v>1</v>
      </c>
      <c r="E71" s="2" t="s">
        <v>63</v>
      </c>
      <c r="F71" s="2" t="s">
        <v>91</v>
      </c>
      <c r="G71" s="2" t="s">
        <v>68</v>
      </c>
      <c r="H71" s="2" t="s">
        <v>68</v>
      </c>
      <c r="I71" s="2" t="s">
        <v>68</v>
      </c>
      <c r="J71" s="2" t="s">
        <v>70</v>
      </c>
      <c r="L71" s="2" t="s">
        <v>304</v>
      </c>
      <c r="O71" t="s">
        <v>72</v>
      </c>
      <c r="P71" s="2">
        <v>570370811</v>
      </c>
      <c r="R71" s="2">
        <v>10100</v>
      </c>
      <c r="S71" s="4">
        <f t="shared" si="2"/>
        <v>10100</v>
      </c>
      <c r="T71" s="4">
        <v>-97</v>
      </c>
      <c r="U71" s="4">
        <f t="shared" si="3"/>
        <v>303</v>
      </c>
      <c r="V71" s="5">
        <v>0.611</v>
      </c>
      <c r="W71" s="5">
        <v>0.605</v>
      </c>
      <c r="AU71" s="3" t="s">
        <v>73</v>
      </c>
      <c r="AW71" s="2" t="s">
        <v>93</v>
      </c>
      <c r="AZ71" t="s">
        <v>305</v>
      </c>
      <c r="BB71" s="7" t="str">
        <f>HYPERLINK("https://v360.in/diamondview.aspx?cid=preet&amp;d=HN-149-33","https://v360.in/diamondview.aspx?cid=preet&amp;d=HN-149-33")</f>
        <v>https://v360.in/diamondview.aspx?cid=preet&amp;d=HN-149-33</v>
      </c>
    </row>
    <row r="72" ht="15.75" spans="1:54">
      <c r="A72" s="2" t="s">
        <v>306</v>
      </c>
      <c r="B72" s="3" t="s">
        <v>63</v>
      </c>
      <c r="C72" s="2" t="s">
        <v>107</v>
      </c>
      <c r="D72" s="2">
        <v>1</v>
      </c>
      <c r="E72" s="2" t="s">
        <v>63</v>
      </c>
      <c r="F72" s="2" t="s">
        <v>91</v>
      </c>
      <c r="G72" s="2" t="s">
        <v>68</v>
      </c>
      <c r="H72" s="2" t="s">
        <v>68</v>
      </c>
      <c r="I72" s="2" t="s">
        <v>68</v>
      </c>
      <c r="J72" s="2" t="s">
        <v>70</v>
      </c>
      <c r="L72" s="2" t="s">
        <v>307</v>
      </c>
      <c r="O72" t="s">
        <v>72</v>
      </c>
      <c r="P72" s="2">
        <v>570376224</v>
      </c>
      <c r="R72" s="2">
        <v>10100</v>
      </c>
      <c r="S72" s="4">
        <f t="shared" si="2"/>
        <v>10100</v>
      </c>
      <c r="T72" s="4">
        <v>-97</v>
      </c>
      <c r="U72" s="4">
        <f t="shared" si="3"/>
        <v>303</v>
      </c>
      <c r="V72" s="5">
        <v>0.613</v>
      </c>
      <c r="W72" s="6">
        <v>0.56</v>
      </c>
      <c r="AU72" s="3" t="s">
        <v>73</v>
      </c>
      <c r="AW72" s="2" t="s">
        <v>93</v>
      </c>
      <c r="AZ72" t="s">
        <v>308</v>
      </c>
      <c r="BB72" s="7" t="str">
        <f>HYPERLINK("https://v360.in/diamondview.aspx?cid=preet&amp;d=HN-142-89","https://v360.in/diamondview.aspx?cid=preet&amp;d=HN-142-89")</f>
        <v>https://v360.in/diamondview.aspx?cid=preet&amp;d=HN-142-89</v>
      </c>
    </row>
    <row r="73" ht="15.75" spans="1:54">
      <c r="A73" s="2" t="s">
        <v>309</v>
      </c>
      <c r="B73" s="3" t="s">
        <v>63</v>
      </c>
      <c r="C73" s="2" t="s">
        <v>107</v>
      </c>
      <c r="D73" s="2">
        <v>0.91</v>
      </c>
      <c r="E73" s="2" t="s">
        <v>310</v>
      </c>
      <c r="F73" s="2" t="s">
        <v>91</v>
      </c>
      <c r="G73" s="2" t="s">
        <v>68</v>
      </c>
      <c r="H73" s="2" t="s">
        <v>68</v>
      </c>
      <c r="I73" s="2" t="s">
        <v>68</v>
      </c>
      <c r="J73" s="2" t="s">
        <v>70</v>
      </c>
      <c r="L73" s="2" t="s">
        <v>311</v>
      </c>
      <c r="O73" t="s">
        <v>72</v>
      </c>
      <c r="P73" s="2">
        <v>529266449</v>
      </c>
      <c r="R73" s="2">
        <v>8700</v>
      </c>
      <c r="S73" s="4">
        <f t="shared" si="2"/>
        <v>7917</v>
      </c>
      <c r="T73" s="4">
        <v>-97</v>
      </c>
      <c r="U73" s="4">
        <f t="shared" si="3"/>
        <v>237.51</v>
      </c>
      <c r="V73" s="6">
        <v>0.63</v>
      </c>
      <c r="W73" s="5">
        <v>0.585</v>
      </c>
      <c r="AU73" s="3" t="s">
        <v>73</v>
      </c>
      <c r="AW73" s="2" t="s">
        <v>74</v>
      </c>
      <c r="AZ73" t="s">
        <v>312</v>
      </c>
      <c r="BB73" s="7" t="str">
        <f>HYPERLINK("","")</f>
        <v/>
      </c>
    </row>
    <row r="74" ht="15.75" spans="1:54">
      <c r="A74" s="2" t="s">
        <v>313</v>
      </c>
      <c r="B74" s="3" t="s">
        <v>63</v>
      </c>
      <c r="C74" s="2" t="s">
        <v>107</v>
      </c>
      <c r="D74" s="2">
        <v>0.9</v>
      </c>
      <c r="E74" s="2" t="s">
        <v>65</v>
      </c>
      <c r="F74" s="2" t="s">
        <v>314</v>
      </c>
      <c r="G74" s="2" t="s">
        <v>68</v>
      </c>
      <c r="H74" s="2" t="s">
        <v>68</v>
      </c>
      <c r="I74" s="2" t="s">
        <v>68</v>
      </c>
      <c r="J74" s="2" t="s">
        <v>70</v>
      </c>
      <c r="L74" s="2" t="s">
        <v>315</v>
      </c>
      <c r="O74" t="s">
        <v>72</v>
      </c>
      <c r="P74" s="2">
        <v>528205256</v>
      </c>
      <c r="R74" s="2">
        <v>4700</v>
      </c>
      <c r="S74" s="4">
        <f t="shared" si="2"/>
        <v>4230</v>
      </c>
      <c r="T74" s="4">
        <v>-97</v>
      </c>
      <c r="U74" s="4">
        <f t="shared" si="3"/>
        <v>126.9</v>
      </c>
      <c r="V74" s="5">
        <v>0.597</v>
      </c>
      <c r="W74" s="5">
        <v>0.595</v>
      </c>
      <c r="AU74" s="3" t="s">
        <v>73</v>
      </c>
      <c r="AW74" s="2" t="s">
        <v>74</v>
      </c>
      <c r="AZ74" t="s">
        <v>316</v>
      </c>
      <c r="BB74" s="7" t="str">
        <f>HYPERLINK("https://view.gem360.in/gem360/2105220529-HN44-43/gem360-2105220529-HN44-43.html","https://view.gem360.in/gem360/2105220529-HN44-43/gem360-2105220529-HN44-43.html")</f>
        <v>https://view.gem360.in/gem360/2105220529-HN44-43/gem360-2105220529-HN44-43.html</v>
      </c>
    </row>
    <row r="75" ht="15.75" spans="1:54">
      <c r="A75" s="2" t="s">
        <v>317</v>
      </c>
      <c r="B75" s="3" t="s">
        <v>63</v>
      </c>
      <c r="C75" s="2" t="s">
        <v>107</v>
      </c>
      <c r="D75" s="2">
        <v>0.8</v>
      </c>
      <c r="E75" s="2" t="s">
        <v>63</v>
      </c>
      <c r="F75" s="2" t="s">
        <v>66</v>
      </c>
      <c r="G75" s="2" t="s">
        <v>68</v>
      </c>
      <c r="H75" s="2" t="s">
        <v>68</v>
      </c>
      <c r="I75" s="2" t="s">
        <v>68</v>
      </c>
      <c r="J75" s="2" t="s">
        <v>70</v>
      </c>
      <c r="L75" s="2" t="s">
        <v>318</v>
      </c>
      <c r="O75" t="s">
        <v>72</v>
      </c>
      <c r="P75" s="2">
        <v>550231382</v>
      </c>
      <c r="R75" s="2">
        <v>4600</v>
      </c>
      <c r="S75" s="4">
        <f t="shared" si="2"/>
        <v>3680</v>
      </c>
      <c r="T75" s="4">
        <v>-97</v>
      </c>
      <c r="U75" s="4">
        <f t="shared" si="3"/>
        <v>110.4</v>
      </c>
      <c r="V75" s="5">
        <v>0.609</v>
      </c>
      <c r="W75" s="5">
        <v>0.595</v>
      </c>
      <c r="AU75" s="3" t="s">
        <v>73</v>
      </c>
      <c r="AW75" s="2" t="s">
        <v>74</v>
      </c>
      <c r="AZ75" t="s">
        <v>319</v>
      </c>
      <c r="BB75" s="7" t="str">
        <f>HYPERLINK("https://v360.in/diamondview.aspx?cid=preet&amp;d=HN-97-87","https://v360.in/diamondview.aspx?cid=preet&amp;d=HN-97-87")</f>
        <v>https://v360.in/diamondview.aspx?cid=preet&amp;d=HN-97-87</v>
      </c>
    </row>
    <row r="76" ht="15.75" spans="1:54">
      <c r="A76" s="2" t="s">
        <v>320</v>
      </c>
      <c r="B76" s="3" t="s">
        <v>63</v>
      </c>
      <c r="C76" s="2" t="s">
        <v>321</v>
      </c>
      <c r="D76" s="2">
        <v>3.08</v>
      </c>
      <c r="E76" s="2" t="s">
        <v>81</v>
      </c>
      <c r="F76" s="2" t="s">
        <v>155</v>
      </c>
      <c r="G76" s="2" t="s">
        <v>67</v>
      </c>
      <c r="H76" s="2" t="s">
        <v>68</v>
      </c>
      <c r="I76" s="2" t="s">
        <v>68</v>
      </c>
      <c r="J76" s="2" t="s">
        <v>70</v>
      </c>
      <c r="L76" s="2" t="s">
        <v>322</v>
      </c>
      <c r="O76" t="s">
        <v>72</v>
      </c>
      <c r="P76" s="2">
        <v>496107129</v>
      </c>
      <c r="R76" s="2">
        <v>16000</v>
      </c>
      <c r="S76" s="4">
        <f t="shared" si="2"/>
        <v>49280</v>
      </c>
      <c r="T76" s="4">
        <v>-97</v>
      </c>
      <c r="U76" s="4">
        <f t="shared" si="3"/>
        <v>1478.4</v>
      </c>
      <c r="V76" s="2">
        <v>64</v>
      </c>
      <c r="W76" s="5">
        <v>0.675</v>
      </c>
      <c r="AU76" s="3" t="s">
        <v>73</v>
      </c>
      <c r="AW76" s="2" t="s">
        <v>74</v>
      </c>
      <c r="AZ76" t="s">
        <v>323</v>
      </c>
      <c r="BB76" s="7" t="str">
        <f>HYPERLINK("https://view.gem360.in/gem360/2710210729-hn-80-61/gem360-2710210729-hn-80-61.html","https://view.gem360.in/gem360/2710210729-hn-80-61/gem360-2710210729-hn-80-61.html")</f>
        <v>https://view.gem360.in/gem360/2710210729-hn-80-61/gem360-2710210729-hn-80-61.html</v>
      </c>
    </row>
    <row r="77" ht="15.75" spans="1:54">
      <c r="A77" s="2" t="s">
        <v>324</v>
      </c>
      <c r="B77" s="3" t="s">
        <v>63</v>
      </c>
      <c r="C77" s="2" t="s">
        <v>321</v>
      </c>
      <c r="D77" s="2">
        <v>3.02</v>
      </c>
      <c r="E77" s="2" t="s">
        <v>63</v>
      </c>
      <c r="F77" s="2" t="s">
        <v>66</v>
      </c>
      <c r="G77" s="2" t="s">
        <v>67</v>
      </c>
      <c r="H77" s="2" t="s">
        <v>68</v>
      </c>
      <c r="I77" s="2" t="s">
        <v>68</v>
      </c>
      <c r="J77" s="2" t="s">
        <v>70</v>
      </c>
      <c r="L77" s="2" t="s">
        <v>325</v>
      </c>
      <c r="O77" t="s">
        <v>72</v>
      </c>
      <c r="P77" s="2">
        <v>561259440</v>
      </c>
      <c r="R77" s="2">
        <v>20500</v>
      </c>
      <c r="S77" s="4">
        <f t="shared" si="2"/>
        <v>61910</v>
      </c>
      <c r="T77" s="4">
        <v>-97</v>
      </c>
      <c r="U77" s="4">
        <f t="shared" si="3"/>
        <v>1857.3</v>
      </c>
      <c r="V77" s="5">
        <v>0.668</v>
      </c>
      <c r="W77" s="5">
        <v>0.645</v>
      </c>
      <c r="AU77" s="3" t="s">
        <v>73</v>
      </c>
      <c r="AW77" s="2" t="s">
        <v>93</v>
      </c>
      <c r="AZ77" t="s">
        <v>326</v>
      </c>
      <c r="BB77" s="7" t="str">
        <f>HYPERLINK("https://v360.in/diamondview.aspx?cid=preet&amp;d=HN-130-11","https://v360.in/diamondview.aspx?cid=preet&amp;d=HN-130-11")</f>
        <v>https://v360.in/diamondview.aspx?cid=preet&amp;d=HN-130-11</v>
      </c>
    </row>
    <row r="78" ht="15.75" spans="1:54">
      <c r="A78" s="2" t="s">
        <v>327</v>
      </c>
      <c r="B78" s="3" t="s">
        <v>63</v>
      </c>
      <c r="C78" s="2" t="s">
        <v>321</v>
      </c>
      <c r="D78" s="2">
        <v>3.01</v>
      </c>
      <c r="E78" s="2" t="s">
        <v>65</v>
      </c>
      <c r="F78" s="2" t="s">
        <v>314</v>
      </c>
      <c r="G78" s="2" t="s">
        <v>67</v>
      </c>
      <c r="H78" s="2" t="s">
        <v>68</v>
      </c>
      <c r="I78" s="2" t="s">
        <v>68</v>
      </c>
      <c r="J78" s="2" t="s">
        <v>70</v>
      </c>
      <c r="L78" s="2" t="s">
        <v>328</v>
      </c>
      <c r="O78" t="s">
        <v>72</v>
      </c>
      <c r="P78" s="2">
        <v>553259921</v>
      </c>
      <c r="R78" s="2">
        <v>15500</v>
      </c>
      <c r="S78" s="4">
        <f t="shared" si="2"/>
        <v>46655</v>
      </c>
      <c r="T78" s="4">
        <v>-97</v>
      </c>
      <c r="U78" s="4">
        <f t="shared" si="3"/>
        <v>1399.65</v>
      </c>
      <c r="V78" s="5">
        <v>0.673</v>
      </c>
      <c r="W78" s="6">
        <v>0.66</v>
      </c>
      <c r="AU78" s="3" t="s">
        <v>73</v>
      </c>
      <c r="AW78" s="2" t="s">
        <v>74</v>
      </c>
      <c r="AZ78" t="s">
        <v>329</v>
      </c>
      <c r="BB78" s="7" t="str">
        <f>HYPERLINK("https://v360.in/diamondview.aspx?cid=preet&amp;d=HN-128-21","https://v360.in/diamondview.aspx?cid=preet&amp;d=HN-128-21")</f>
        <v>https://v360.in/diamondview.aspx?cid=preet&amp;d=HN-128-21</v>
      </c>
    </row>
    <row r="79" ht="15.75" spans="1:54">
      <c r="A79" s="2" t="s">
        <v>330</v>
      </c>
      <c r="B79" s="3" t="s">
        <v>63</v>
      </c>
      <c r="C79" s="2" t="s">
        <v>321</v>
      </c>
      <c r="D79" s="2">
        <v>3.01</v>
      </c>
      <c r="E79" s="2" t="s">
        <v>63</v>
      </c>
      <c r="F79" s="2" t="s">
        <v>66</v>
      </c>
      <c r="G79" s="2" t="s">
        <v>67</v>
      </c>
      <c r="H79" s="2" t="s">
        <v>68</v>
      </c>
      <c r="I79" s="2" t="s">
        <v>68</v>
      </c>
      <c r="J79" s="2" t="s">
        <v>70</v>
      </c>
      <c r="L79" s="2" t="s">
        <v>331</v>
      </c>
      <c r="O79" t="s">
        <v>72</v>
      </c>
      <c r="P79" s="2">
        <v>553259922</v>
      </c>
      <c r="R79" s="2">
        <v>20500</v>
      </c>
      <c r="S79" s="4">
        <f t="shared" si="2"/>
        <v>61705</v>
      </c>
      <c r="T79" s="4">
        <v>-97</v>
      </c>
      <c r="U79" s="4">
        <f t="shared" si="3"/>
        <v>1851.15</v>
      </c>
      <c r="V79" s="5">
        <v>0.636</v>
      </c>
      <c r="W79" s="6">
        <v>0.69</v>
      </c>
      <c r="AU79" s="3" t="s">
        <v>73</v>
      </c>
      <c r="AW79" s="2" t="s">
        <v>74</v>
      </c>
      <c r="AZ79" t="s">
        <v>332</v>
      </c>
      <c r="BB79" s="7" t="str">
        <f>HYPERLINK("https://v360.in/diamondview.aspx?cid=preet&amp;d=HN-127-11","https://v360.in/diamondview.aspx?cid=preet&amp;d=HN-127-11")</f>
        <v>https://v360.in/diamondview.aspx?cid=preet&amp;d=HN-127-11</v>
      </c>
    </row>
    <row r="80" ht="15.75" spans="1:54">
      <c r="A80" s="2" t="s">
        <v>333</v>
      </c>
      <c r="B80" s="3" t="s">
        <v>63</v>
      </c>
      <c r="C80" s="2" t="s">
        <v>321</v>
      </c>
      <c r="D80" s="2">
        <v>2.8</v>
      </c>
      <c r="E80" s="2" t="s">
        <v>63</v>
      </c>
      <c r="F80" s="2" t="s">
        <v>91</v>
      </c>
      <c r="G80" s="2" t="s">
        <v>67</v>
      </c>
      <c r="H80" s="2" t="s">
        <v>68</v>
      </c>
      <c r="I80" s="2" t="s">
        <v>68</v>
      </c>
      <c r="J80" s="2" t="s">
        <v>70</v>
      </c>
      <c r="L80" s="2" t="s">
        <v>334</v>
      </c>
      <c r="O80" t="s">
        <v>72</v>
      </c>
      <c r="P80" s="2">
        <v>570376210</v>
      </c>
      <c r="R80" s="2">
        <v>15500</v>
      </c>
      <c r="S80" s="4">
        <f t="shared" si="2"/>
        <v>43400</v>
      </c>
      <c r="T80" s="4">
        <v>-97</v>
      </c>
      <c r="U80" s="4">
        <f t="shared" si="3"/>
        <v>1302</v>
      </c>
      <c r="V80" s="5">
        <v>0.632</v>
      </c>
      <c r="W80" s="6">
        <v>0.67</v>
      </c>
      <c r="AU80" s="3" t="s">
        <v>73</v>
      </c>
      <c r="AW80" s="2" t="s">
        <v>93</v>
      </c>
      <c r="AZ80" t="s">
        <v>335</v>
      </c>
      <c r="BB80" s="7" t="s">
        <v>336</v>
      </c>
    </row>
    <row r="81" ht="15.75" spans="1:54">
      <c r="A81" s="2" t="s">
        <v>337</v>
      </c>
      <c r="B81" s="3" t="s">
        <v>63</v>
      </c>
      <c r="C81" s="2" t="s">
        <v>321</v>
      </c>
      <c r="D81" s="2">
        <v>2.52</v>
      </c>
      <c r="E81" s="2" t="s">
        <v>63</v>
      </c>
      <c r="F81" s="2" t="s">
        <v>155</v>
      </c>
      <c r="G81" s="2" t="s">
        <v>67</v>
      </c>
      <c r="H81" s="2" t="s">
        <v>68</v>
      </c>
      <c r="I81" s="2" t="s">
        <v>68</v>
      </c>
      <c r="J81" s="2" t="s">
        <v>70</v>
      </c>
      <c r="L81" s="2" t="s">
        <v>338</v>
      </c>
      <c r="O81" t="s">
        <v>72</v>
      </c>
      <c r="P81" s="2">
        <v>561278596</v>
      </c>
      <c r="R81" s="2">
        <v>12200</v>
      </c>
      <c r="S81" s="4">
        <f t="shared" si="2"/>
        <v>30744</v>
      </c>
      <c r="T81" s="4">
        <v>-97</v>
      </c>
      <c r="U81" s="4">
        <f t="shared" si="3"/>
        <v>922.32</v>
      </c>
      <c r="V81" s="5">
        <v>0.692</v>
      </c>
      <c r="W81" s="2">
        <v>66</v>
      </c>
      <c r="AU81" s="3" t="s">
        <v>73</v>
      </c>
      <c r="AW81" s="2" t="s">
        <v>93</v>
      </c>
      <c r="AZ81" t="s">
        <v>339</v>
      </c>
      <c r="BB81" s="7" t="str">
        <f>HYPERLINK("https://v360.in/diamondview.aspx?cid=preet&amp;d=HN-130-14","https://v360.in/diamondview.aspx?cid=preet&amp;d=HN-130-14")</f>
        <v>https://v360.in/diamondview.aspx?cid=preet&amp;d=HN-130-14</v>
      </c>
    </row>
    <row r="82" ht="15.75" spans="1:54">
      <c r="A82" s="2" t="s">
        <v>340</v>
      </c>
      <c r="B82" s="3" t="s">
        <v>63</v>
      </c>
      <c r="C82" s="2" t="s">
        <v>321</v>
      </c>
      <c r="D82" s="2">
        <v>2.21</v>
      </c>
      <c r="E82" s="2" t="s">
        <v>81</v>
      </c>
      <c r="F82" s="2" t="s">
        <v>91</v>
      </c>
      <c r="G82" s="2" t="s">
        <v>67</v>
      </c>
      <c r="H82" s="2" t="s">
        <v>68</v>
      </c>
      <c r="I82" s="2" t="s">
        <v>68</v>
      </c>
      <c r="J82" s="2" t="s">
        <v>70</v>
      </c>
      <c r="L82" s="2" t="s">
        <v>341</v>
      </c>
      <c r="O82" t="s">
        <v>72</v>
      </c>
      <c r="P82" s="2">
        <v>520212205</v>
      </c>
      <c r="R82" s="2">
        <v>13000</v>
      </c>
      <c r="S82" s="4">
        <f t="shared" si="2"/>
        <v>28730</v>
      </c>
      <c r="T82" s="4">
        <v>-97</v>
      </c>
      <c r="U82" s="4">
        <f t="shared" si="3"/>
        <v>861.9</v>
      </c>
      <c r="V82" s="5">
        <v>0.678</v>
      </c>
      <c r="W82" s="6">
        <v>0.67</v>
      </c>
      <c r="AU82" s="3" t="s">
        <v>73</v>
      </c>
      <c r="AW82" s="2" t="s">
        <v>74</v>
      </c>
      <c r="AZ82" t="s">
        <v>342</v>
      </c>
      <c r="BB82" s="7" t="str">
        <f>HYPERLINK("https://view.gem360.in/gem360/0504220727-HN52-42/gem360-0504220727-HN52-42.html","https://view.gem360.in/gem360/0504220727-HN52-42/gem360-0504220727-HN52-42.html")</f>
        <v>https://view.gem360.in/gem360/0504220727-HN52-42/gem360-0504220727-HN52-42.html</v>
      </c>
    </row>
    <row r="83" ht="15.75" spans="1:54">
      <c r="A83" s="2" t="s">
        <v>343</v>
      </c>
      <c r="B83" s="3" t="s">
        <v>63</v>
      </c>
      <c r="C83" s="2" t="s">
        <v>321</v>
      </c>
      <c r="D83" s="2">
        <v>2.07</v>
      </c>
      <c r="E83" s="2" t="s">
        <v>63</v>
      </c>
      <c r="F83" s="2" t="s">
        <v>91</v>
      </c>
      <c r="G83" s="2" t="s">
        <v>67</v>
      </c>
      <c r="H83" s="2" t="s">
        <v>68</v>
      </c>
      <c r="I83" s="2" t="s">
        <v>69</v>
      </c>
      <c r="J83" s="2" t="s">
        <v>70</v>
      </c>
      <c r="L83" s="2" t="s">
        <v>344</v>
      </c>
      <c r="O83" t="s">
        <v>72</v>
      </c>
      <c r="P83" s="2">
        <v>571301042</v>
      </c>
      <c r="R83" s="2">
        <v>15500</v>
      </c>
      <c r="S83" s="4">
        <f t="shared" si="2"/>
        <v>32085</v>
      </c>
      <c r="T83" s="4">
        <v>-97</v>
      </c>
      <c r="U83" s="4">
        <f t="shared" si="3"/>
        <v>962.55</v>
      </c>
      <c r="V83" s="5">
        <v>0.672</v>
      </c>
      <c r="W83" s="6">
        <v>0.68</v>
      </c>
      <c r="AU83" s="3" t="s">
        <v>73</v>
      </c>
      <c r="AW83" s="2" t="s">
        <v>93</v>
      </c>
      <c r="AZ83" t="s">
        <v>345</v>
      </c>
      <c r="BB83" s="7" t="str">
        <f>HYPERLINK("https://v360.in/diamondview.aspx?cid=preet&amp;d=HN-141-41","https://v360.in/diamondview.aspx?cid=preet&amp;d=HN-141-41")</f>
        <v>https://v360.in/diamondview.aspx?cid=preet&amp;d=HN-141-41</v>
      </c>
    </row>
    <row r="84" ht="15.75" spans="1:54">
      <c r="A84" s="2" t="s">
        <v>346</v>
      </c>
      <c r="B84" s="3" t="s">
        <v>63</v>
      </c>
      <c r="C84" s="2" t="s">
        <v>321</v>
      </c>
      <c r="D84" s="2">
        <v>2.05</v>
      </c>
      <c r="E84" s="2" t="s">
        <v>63</v>
      </c>
      <c r="F84" s="2" t="s">
        <v>66</v>
      </c>
      <c r="G84" s="2" t="s">
        <v>67</v>
      </c>
      <c r="H84" s="2" t="s">
        <v>68</v>
      </c>
      <c r="I84" s="2" t="s">
        <v>68</v>
      </c>
      <c r="J84" s="2" t="s">
        <v>70</v>
      </c>
      <c r="L84" s="2" t="s">
        <v>347</v>
      </c>
      <c r="O84" t="s">
        <v>72</v>
      </c>
      <c r="P84" s="2">
        <v>570376219</v>
      </c>
      <c r="R84" s="2">
        <v>14500</v>
      </c>
      <c r="S84" s="4">
        <f t="shared" si="2"/>
        <v>29725</v>
      </c>
      <c r="T84" s="4">
        <v>-97</v>
      </c>
      <c r="U84" s="4">
        <f t="shared" si="3"/>
        <v>891.75</v>
      </c>
      <c r="V84" s="5">
        <v>0.676</v>
      </c>
      <c r="W84" s="6">
        <v>0.63</v>
      </c>
      <c r="AU84" s="3" t="s">
        <v>73</v>
      </c>
      <c r="AW84" s="2" t="s">
        <v>93</v>
      </c>
      <c r="AZ84" t="s">
        <v>348</v>
      </c>
      <c r="BB84" s="7" t="s">
        <v>349</v>
      </c>
    </row>
    <row r="85" ht="15.75" spans="1:54">
      <c r="A85" s="2" t="s">
        <v>350</v>
      </c>
      <c r="B85" s="3" t="s">
        <v>63</v>
      </c>
      <c r="C85" s="2" t="s">
        <v>321</v>
      </c>
      <c r="D85" s="2">
        <v>2.01</v>
      </c>
      <c r="E85" s="2" t="s">
        <v>65</v>
      </c>
      <c r="F85" s="2" t="s">
        <v>66</v>
      </c>
      <c r="G85" s="2" t="s">
        <v>67</v>
      </c>
      <c r="H85" s="2" t="s">
        <v>68</v>
      </c>
      <c r="I85" s="2" t="s">
        <v>68</v>
      </c>
      <c r="J85" s="2" t="s">
        <v>70</v>
      </c>
      <c r="L85" s="2" t="s">
        <v>351</v>
      </c>
      <c r="O85" t="s">
        <v>72</v>
      </c>
      <c r="P85" s="2">
        <v>553259838</v>
      </c>
      <c r="R85" s="2">
        <v>15500</v>
      </c>
      <c r="S85" s="4">
        <f t="shared" si="2"/>
        <v>31155</v>
      </c>
      <c r="T85" s="4">
        <v>-97</v>
      </c>
      <c r="U85" s="4">
        <f t="shared" si="3"/>
        <v>934.65</v>
      </c>
      <c r="V85" s="5">
        <v>0.689</v>
      </c>
      <c r="W85" s="6">
        <v>0.64</v>
      </c>
      <c r="AU85" s="3" t="s">
        <v>73</v>
      </c>
      <c r="AW85" s="2" t="s">
        <v>74</v>
      </c>
      <c r="AZ85" t="s">
        <v>352</v>
      </c>
      <c r="BB85" s="7" t="str">
        <f>HYPERLINK("https://v360.in/diamondview.aspx?cid=preet&amp;d=HN-128-16","https://v360.in/diamondview.aspx?cid=preet&amp;d=HN-128-16")</f>
        <v>https://v360.in/diamondview.aspx?cid=preet&amp;d=HN-128-16</v>
      </c>
    </row>
    <row r="86" ht="15.75" spans="1:54">
      <c r="A86" s="2" t="s">
        <v>353</v>
      </c>
      <c r="B86" s="3" t="s">
        <v>63</v>
      </c>
      <c r="C86" s="2" t="s">
        <v>321</v>
      </c>
      <c r="D86" s="2">
        <v>2</v>
      </c>
      <c r="E86" s="2" t="s">
        <v>81</v>
      </c>
      <c r="F86" s="2" t="s">
        <v>91</v>
      </c>
      <c r="G86" s="2" t="s">
        <v>67</v>
      </c>
      <c r="H86" s="2" t="s">
        <v>68</v>
      </c>
      <c r="I86" s="2" t="s">
        <v>68</v>
      </c>
      <c r="J86" s="2" t="s">
        <v>70</v>
      </c>
      <c r="L86" s="2" t="s">
        <v>354</v>
      </c>
      <c r="O86" t="s">
        <v>72</v>
      </c>
      <c r="P86" s="2">
        <v>570376207</v>
      </c>
      <c r="R86" s="2">
        <v>13000</v>
      </c>
      <c r="S86" s="4">
        <f t="shared" si="2"/>
        <v>26000</v>
      </c>
      <c r="T86" s="4">
        <v>-97</v>
      </c>
      <c r="U86" s="4">
        <f t="shared" si="3"/>
        <v>780</v>
      </c>
      <c r="V86" s="5">
        <v>0.676</v>
      </c>
      <c r="W86" s="6">
        <v>0.65</v>
      </c>
      <c r="AU86" s="3" t="s">
        <v>73</v>
      </c>
      <c r="AW86" s="2" t="s">
        <v>93</v>
      </c>
      <c r="AZ86" t="s">
        <v>355</v>
      </c>
      <c r="BB86" s="7" t="s">
        <v>356</v>
      </c>
    </row>
    <row r="87" ht="15.75" spans="1:54">
      <c r="A87" s="2" t="s">
        <v>357</v>
      </c>
      <c r="B87" s="3" t="s">
        <v>63</v>
      </c>
      <c r="C87" s="2" t="s">
        <v>321</v>
      </c>
      <c r="D87" s="2">
        <v>1.93</v>
      </c>
      <c r="E87" s="2" t="s">
        <v>63</v>
      </c>
      <c r="F87" s="2" t="s">
        <v>91</v>
      </c>
      <c r="G87" s="2" t="s">
        <v>67</v>
      </c>
      <c r="H87" s="2" t="s">
        <v>68</v>
      </c>
      <c r="I87" s="2" t="s">
        <v>68</v>
      </c>
      <c r="J87" s="2" t="s">
        <v>70</v>
      </c>
      <c r="L87" s="2" t="s">
        <v>358</v>
      </c>
      <c r="O87" t="s">
        <v>72</v>
      </c>
      <c r="P87" s="2">
        <v>571301041</v>
      </c>
      <c r="R87" s="2">
        <v>11200</v>
      </c>
      <c r="S87" s="4">
        <f t="shared" si="2"/>
        <v>21616</v>
      </c>
      <c r="T87" s="4">
        <v>-97</v>
      </c>
      <c r="U87" s="4">
        <f t="shared" si="3"/>
        <v>648.48</v>
      </c>
      <c r="V87" s="5">
        <v>0.665</v>
      </c>
      <c r="W87" s="5">
        <v>0.675</v>
      </c>
      <c r="AU87" s="3" t="s">
        <v>73</v>
      </c>
      <c r="AW87" s="2" t="s">
        <v>93</v>
      </c>
      <c r="AZ87" t="s">
        <v>359</v>
      </c>
      <c r="BB87" s="7" t="str">
        <f>HYPERLINK("https://v360.in/diamondview.aspx?cid=preet&amp;d=HN-147-40","https://v360.in/diamondview.aspx?cid=preet&amp;d=HN-147-40")</f>
        <v>https://v360.in/diamondview.aspx?cid=preet&amp;d=HN-147-40</v>
      </c>
    </row>
    <row r="88" ht="15.75" spans="1:54">
      <c r="A88" s="2" t="s">
        <v>360</v>
      </c>
      <c r="B88" s="3" t="s">
        <v>63</v>
      </c>
      <c r="C88" s="2" t="s">
        <v>321</v>
      </c>
      <c r="D88" s="2">
        <v>1.86</v>
      </c>
      <c r="E88" s="2" t="s">
        <v>63</v>
      </c>
      <c r="F88" s="2" t="s">
        <v>91</v>
      </c>
      <c r="G88" s="2" t="s">
        <v>67</v>
      </c>
      <c r="H88" s="2" t="s">
        <v>68</v>
      </c>
      <c r="I88" s="2" t="s">
        <v>68</v>
      </c>
      <c r="J88" s="2" t="s">
        <v>70</v>
      </c>
      <c r="L88" s="2" t="s">
        <v>361</v>
      </c>
      <c r="O88" t="s">
        <v>72</v>
      </c>
      <c r="P88" s="2">
        <v>570370824</v>
      </c>
      <c r="R88" s="2">
        <v>11200</v>
      </c>
      <c r="S88" s="4">
        <f t="shared" si="2"/>
        <v>20832</v>
      </c>
      <c r="T88" s="4">
        <v>-97</v>
      </c>
      <c r="U88" s="4">
        <f t="shared" si="3"/>
        <v>624.96</v>
      </c>
      <c r="V88" s="5">
        <v>0.646</v>
      </c>
      <c r="W88" s="5">
        <v>0.655</v>
      </c>
      <c r="AU88" s="3" t="s">
        <v>73</v>
      </c>
      <c r="AW88" s="2" t="s">
        <v>93</v>
      </c>
      <c r="AZ88" t="s">
        <v>362</v>
      </c>
      <c r="BB88" s="7" t="str">
        <f>HYPERLINK("https://v360.in/diamondview.aspx?cid=preet&amp;d=HN-147-18","https://v360.in/diamondview.aspx?cid=preet&amp;d=HN-147-18")</f>
        <v>https://v360.in/diamondview.aspx?cid=preet&amp;d=HN-147-18</v>
      </c>
    </row>
    <row r="89" ht="15.75" spans="1:54">
      <c r="A89" s="2" t="s">
        <v>363</v>
      </c>
      <c r="B89" s="3" t="s">
        <v>63</v>
      </c>
      <c r="C89" s="2" t="s">
        <v>321</v>
      </c>
      <c r="D89" s="2">
        <v>1.72</v>
      </c>
      <c r="E89" s="2" t="s">
        <v>65</v>
      </c>
      <c r="F89" s="2" t="s">
        <v>91</v>
      </c>
      <c r="G89" s="2" t="s">
        <v>67</v>
      </c>
      <c r="H89" s="2" t="s">
        <v>68</v>
      </c>
      <c r="I89" s="2" t="s">
        <v>68</v>
      </c>
      <c r="J89" s="2" t="s">
        <v>70</v>
      </c>
      <c r="L89" s="2" t="s">
        <v>364</v>
      </c>
      <c r="O89" t="s">
        <v>72</v>
      </c>
      <c r="P89" s="2">
        <v>553259830</v>
      </c>
      <c r="R89" s="2">
        <v>12200</v>
      </c>
      <c r="S89" s="4">
        <f t="shared" si="2"/>
        <v>20984</v>
      </c>
      <c r="T89" s="4">
        <v>-97</v>
      </c>
      <c r="U89" s="4">
        <f t="shared" si="3"/>
        <v>629.52</v>
      </c>
      <c r="V89" s="5">
        <v>0.645</v>
      </c>
      <c r="W89" s="5">
        <v>0.675</v>
      </c>
      <c r="AU89" s="3" t="s">
        <v>73</v>
      </c>
      <c r="AW89" s="2" t="s">
        <v>74</v>
      </c>
      <c r="AZ89" t="s">
        <v>365</v>
      </c>
      <c r="BB89" s="7" t="str">
        <f>HYPERLINK("https://v360.in/diamondview.aspx?cid=preet&amp;d=HN-128-17","https://v360.in/diamondview.aspx?cid=preet&amp;d=HN-128-17")</f>
        <v>https://v360.in/diamondview.aspx?cid=preet&amp;d=HN-128-17</v>
      </c>
    </row>
    <row r="90" ht="15.75" spans="1:54">
      <c r="A90" s="2" t="s">
        <v>366</v>
      </c>
      <c r="B90" s="3" t="s">
        <v>63</v>
      </c>
      <c r="C90" s="2" t="s">
        <v>321</v>
      </c>
      <c r="D90" s="2">
        <v>1.7</v>
      </c>
      <c r="E90" s="2" t="s">
        <v>81</v>
      </c>
      <c r="F90" s="2" t="s">
        <v>91</v>
      </c>
      <c r="G90" s="2" t="s">
        <v>67</v>
      </c>
      <c r="H90" s="2" t="s">
        <v>68</v>
      </c>
      <c r="I90" s="2" t="s">
        <v>68</v>
      </c>
      <c r="J90" s="2" t="s">
        <v>70</v>
      </c>
      <c r="L90" s="2" t="s">
        <v>367</v>
      </c>
      <c r="O90" t="s">
        <v>72</v>
      </c>
      <c r="P90" s="2">
        <v>570370825</v>
      </c>
      <c r="R90" s="2">
        <v>9500</v>
      </c>
      <c r="S90" s="4">
        <f t="shared" si="2"/>
        <v>16150</v>
      </c>
      <c r="T90" s="4">
        <v>-97</v>
      </c>
      <c r="U90" s="4">
        <f t="shared" si="3"/>
        <v>484.5</v>
      </c>
      <c r="V90" s="5">
        <v>0.652</v>
      </c>
      <c r="W90" s="5">
        <v>0.745</v>
      </c>
      <c r="AU90" s="3" t="s">
        <v>73</v>
      </c>
      <c r="AW90" s="2" t="s">
        <v>93</v>
      </c>
      <c r="AZ90" t="s">
        <v>368</v>
      </c>
      <c r="BB90" s="7" t="str">
        <f>HYPERLINK("https://v360.in/diamondview.aspx?cid=preet&amp;d=HN-147-17","https://v360.in/diamondview.aspx?cid=preet&amp;d=HN-147-17")</f>
        <v>https://v360.in/diamondview.aspx?cid=preet&amp;d=HN-147-17</v>
      </c>
    </row>
    <row r="91" ht="15.75" spans="1:54">
      <c r="A91" s="2" t="s">
        <v>369</v>
      </c>
      <c r="B91" s="3" t="s">
        <v>63</v>
      </c>
      <c r="C91" s="2" t="s">
        <v>321</v>
      </c>
      <c r="D91" s="2">
        <v>1.66</v>
      </c>
      <c r="E91" s="2" t="s">
        <v>65</v>
      </c>
      <c r="F91" s="2" t="s">
        <v>66</v>
      </c>
      <c r="G91" s="2" t="s">
        <v>67</v>
      </c>
      <c r="H91" s="2" t="s">
        <v>68</v>
      </c>
      <c r="I91" s="2" t="s">
        <v>68</v>
      </c>
      <c r="J91" s="2" t="s">
        <v>70</v>
      </c>
      <c r="L91" s="2" t="s">
        <v>370</v>
      </c>
      <c r="O91" t="s">
        <v>72</v>
      </c>
      <c r="P91" s="2">
        <v>553217218</v>
      </c>
      <c r="R91" s="2">
        <v>11200</v>
      </c>
      <c r="S91" s="4">
        <f t="shared" si="2"/>
        <v>18592</v>
      </c>
      <c r="T91" s="4">
        <v>-97</v>
      </c>
      <c r="U91" s="4">
        <f t="shared" si="3"/>
        <v>557.76</v>
      </c>
      <c r="V91" s="5">
        <v>0.674</v>
      </c>
      <c r="W91" s="5">
        <v>0.665</v>
      </c>
      <c r="AU91" s="3" t="s">
        <v>73</v>
      </c>
      <c r="AW91" s="2" t="s">
        <v>74</v>
      </c>
      <c r="AZ91" t="s">
        <v>371</v>
      </c>
      <c r="BB91" s="7" t="str">
        <f>HYPERLINK("https://v360.in/diamondview.aspx?cid=preet&amp;d=HN-127-44","https://v360.in/diamondview.aspx?cid=preet&amp;d=HN-127-44")</f>
        <v>https://v360.in/diamondview.aspx?cid=preet&amp;d=HN-127-44</v>
      </c>
    </row>
    <row r="92" ht="15.75" spans="1:54">
      <c r="A92" s="2" t="s">
        <v>372</v>
      </c>
      <c r="B92" s="3" t="s">
        <v>63</v>
      </c>
      <c r="C92" s="2" t="s">
        <v>321</v>
      </c>
      <c r="D92" s="2">
        <v>1.61</v>
      </c>
      <c r="E92" s="2" t="s">
        <v>63</v>
      </c>
      <c r="F92" s="2" t="s">
        <v>91</v>
      </c>
      <c r="G92" s="2" t="s">
        <v>67</v>
      </c>
      <c r="H92" s="2" t="s">
        <v>68</v>
      </c>
      <c r="I92" s="2" t="s">
        <v>68</v>
      </c>
      <c r="J92" s="2" t="s">
        <v>70</v>
      </c>
      <c r="L92" s="2" t="s">
        <v>373</v>
      </c>
      <c r="O92" t="s">
        <v>72</v>
      </c>
      <c r="P92" s="2">
        <v>551214623</v>
      </c>
      <c r="R92" s="2">
        <v>11200</v>
      </c>
      <c r="S92" s="4">
        <f t="shared" si="2"/>
        <v>18032</v>
      </c>
      <c r="T92" s="4">
        <v>-97</v>
      </c>
      <c r="U92" s="4">
        <f t="shared" si="3"/>
        <v>540.96</v>
      </c>
      <c r="V92" s="5">
        <v>0.664</v>
      </c>
      <c r="W92" s="5">
        <v>0.665</v>
      </c>
      <c r="AU92" s="3" t="s">
        <v>73</v>
      </c>
      <c r="AW92" s="2" t="s">
        <v>74</v>
      </c>
      <c r="AZ92" t="s">
        <v>374</v>
      </c>
      <c r="BB92" s="7" t="str">
        <f>HYPERLINK("https://v360.in/diamondview.aspx?cid=preet&amp;d=HN-127-16","https://v360.in/diamondview.aspx?cid=preet&amp;d=HN-127-16")</f>
        <v>https://v360.in/diamondview.aspx?cid=preet&amp;d=HN-127-16</v>
      </c>
    </row>
    <row r="93" ht="15.75" spans="1:54">
      <c r="A93" s="2" t="s">
        <v>375</v>
      </c>
      <c r="B93" s="3" t="s">
        <v>63</v>
      </c>
      <c r="C93" s="2" t="s">
        <v>321</v>
      </c>
      <c r="D93" s="2">
        <v>1.6</v>
      </c>
      <c r="E93" s="2" t="s">
        <v>63</v>
      </c>
      <c r="F93" s="2" t="s">
        <v>91</v>
      </c>
      <c r="G93" s="2" t="s">
        <v>67</v>
      </c>
      <c r="H93" s="2" t="s">
        <v>68</v>
      </c>
      <c r="I93" s="2" t="s">
        <v>68</v>
      </c>
      <c r="J93" s="2" t="s">
        <v>70</v>
      </c>
      <c r="L93" s="2" t="s">
        <v>376</v>
      </c>
      <c r="O93" t="s">
        <v>72</v>
      </c>
      <c r="P93" s="2">
        <v>570376190</v>
      </c>
      <c r="R93" s="2">
        <v>11200</v>
      </c>
      <c r="S93" s="4">
        <f t="shared" si="2"/>
        <v>17920</v>
      </c>
      <c r="T93" s="4">
        <v>-97</v>
      </c>
      <c r="U93" s="4">
        <f t="shared" si="3"/>
        <v>537.6</v>
      </c>
      <c r="V93" s="5">
        <v>0.649</v>
      </c>
      <c r="W93" s="6">
        <v>0.66</v>
      </c>
      <c r="AU93" s="3" t="s">
        <v>73</v>
      </c>
      <c r="AW93" s="2" t="s">
        <v>93</v>
      </c>
      <c r="AZ93" t="s">
        <v>377</v>
      </c>
      <c r="BB93" s="7" t="str">
        <f>HYPERLINK("https://v360.in/diamondview.aspx?cid=preet&amp;d=HN-148-9","https://v360.in/diamondview.aspx?cid=preet&amp;d=HN-148-9")</f>
        <v>https://v360.in/diamondview.aspx?cid=preet&amp;d=HN-148-9</v>
      </c>
    </row>
    <row r="94" ht="15.75" spans="1:54">
      <c r="A94" s="2" t="s">
        <v>378</v>
      </c>
      <c r="B94" s="3" t="s">
        <v>63</v>
      </c>
      <c r="C94" s="2" t="s">
        <v>321</v>
      </c>
      <c r="D94" s="2">
        <v>1.57</v>
      </c>
      <c r="E94" s="2" t="s">
        <v>65</v>
      </c>
      <c r="F94" s="2" t="s">
        <v>91</v>
      </c>
      <c r="G94" s="2" t="s">
        <v>67</v>
      </c>
      <c r="H94" s="2" t="s">
        <v>68</v>
      </c>
      <c r="I94" s="2" t="s">
        <v>68</v>
      </c>
      <c r="J94" s="2" t="s">
        <v>70</v>
      </c>
      <c r="L94" s="2" t="s">
        <v>379</v>
      </c>
      <c r="O94" t="s">
        <v>72</v>
      </c>
      <c r="P94" s="2">
        <v>560231268</v>
      </c>
      <c r="R94" s="2">
        <v>12200</v>
      </c>
      <c r="S94" s="4">
        <f t="shared" si="2"/>
        <v>19154</v>
      </c>
      <c r="T94" s="4">
        <v>-97</v>
      </c>
      <c r="U94" s="4">
        <f t="shared" si="3"/>
        <v>574.62</v>
      </c>
      <c r="V94" s="5">
        <v>0.695</v>
      </c>
      <c r="W94" s="5">
        <v>0.685</v>
      </c>
      <c r="AU94" s="3" t="s">
        <v>73</v>
      </c>
      <c r="AW94" s="2" t="s">
        <v>74</v>
      </c>
      <c r="AZ94" t="s">
        <v>380</v>
      </c>
      <c r="BB94" s="7" t="str">
        <f>HYPERLINK("https://v360.in/diamondview.aspx?cid=preet&amp;d=HN-130-8","https://v360.in/diamondview.aspx?cid=preet&amp;d=HN-130-8")</f>
        <v>https://v360.in/diamondview.aspx?cid=preet&amp;d=HN-130-8</v>
      </c>
    </row>
    <row r="95" ht="15.75" spans="1:54">
      <c r="A95" s="2" t="s">
        <v>381</v>
      </c>
      <c r="B95" s="3" t="s">
        <v>63</v>
      </c>
      <c r="C95" s="2" t="s">
        <v>321</v>
      </c>
      <c r="D95" s="2">
        <v>1.56</v>
      </c>
      <c r="E95" s="2" t="s">
        <v>65</v>
      </c>
      <c r="F95" s="2" t="s">
        <v>91</v>
      </c>
      <c r="G95" s="2" t="s">
        <v>67</v>
      </c>
      <c r="H95" s="2" t="s">
        <v>68</v>
      </c>
      <c r="I95" s="2" t="s">
        <v>69</v>
      </c>
      <c r="J95" s="2" t="s">
        <v>70</v>
      </c>
      <c r="L95" s="2" t="s">
        <v>382</v>
      </c>
      <c r="O95" t="s">
        <v>72</v>
      </c>
      <c r="P95" s="2">
        <v>564365279</v>
      </c>
      <c r="R95" s="2">
        <v>12200</v>
      </c>
      <c r="S95" s="4">
        <f t="shared" si="2"/>
        <v>19032</v>
      </c>
      <c r="T95" s="4">
        <v>-97</v>
      </c>
      <c r="U95" s="4">
        <f t="shared" si="3"/>
        <v>570.96</v>
      </c>
      <c r="V95" s="5">
        <v>0.658</v>
      </c>
      <c r="W95" s="2">
        <v>60</v>
      </c>
      <c r="AU95" s="3" t="s">
        <v>73</v>
      </c>
      <c r="AW95" s="2" t="s">
        <v>93</v>
      </c>
      <c r="AZ95" t="s">
        <v>383</v>
      </c>
      <c r="BB95" s="7" t="str">
        <f>HYPERLINK("https://v360.in/diamondview.aspx?cid=preet&amp;d=HN-135-84","https://v360.in/diamondview.aspx?cid=preet&amp;d=HN-135-84")</f>
        <v>https://v360.in/diamondview.aspx?cid=preet&amp;d=HN-135-84</v>
      </c>
    </row>
    <row r="96" ht="15.75" spans="1:54">
      <c r="A96" s="2" t="s">
        <v>384</v>
      </c>
      <c r="B96" s="3" t="s">
        <v>63</v>
      </c>
      <c r="C96" s="2" t="s">
        <v>321</v>
      </c>
      <c r="D96" s="2">
        <v>1.56</v>
      </c>
      <c r="E96" s="2" t="s">
        <v>81</v>
      </c>
      <c r="F96" s="2" t="s">
        <v>91</v>
      </c>
      <c r="G96" s="2" t="s">
        <v>67</v>
      </c>
      <c r="H96" s="2" t="s">
        <v>68</v>
      </c>
      <c r="I96" s="2" t="s">
        <v>68</v>
      </c>
      <c r="J96" s="2" t="s">
        <v>70</v>
      </c>
      <c r="L96" s="2" t="s">
        <v>385</v>
      </c>
      <c r="O96" t="s">
        <v>72</v>
      </c>
      <c r="P96" s="2">
        <v>570376209</v>
      </c>
      <c r="R96" s="2">
        <v>9500</v>
      </c>
      <c r="S96" s="4">
        <f t="shared" si="2"/>
        <v>14820</v>
      </c>
      <c r="T96" s="4">
        <v>-97</v>
      </c>
      <c r="U96" s="4">
        <f t="shared" si="3"/>
        <v>444.6</v>
      </c>
      <c r="V96" s="5">
        <v>0.642</v>
      </c>
      <c r="W96" s="6">
        <v>0.61</v>
      </c>
      <c r="AU96" s="3" t="s">
        <v>73</v>
      </c>
      <c r="AW96" s="2" t="s">
        <v>93</v>
      </c>
      <c r="AZ96" t="s">
        <v>386</v>
      </c>
      <c r="BB96" s="7" t="s">
        <v>387</v>
      </c>
    </row>
    <row r="97" ht="15.75" spans="1:54">
      <c r="A97" s="2" t="s">
        <v>388</v>
      </c>
      <c r="B97" s="3" t="s">
        <v>63</v>
      </c>
      <c r="C97" s="2" t="s">
        <v>321</v>
      </c>
      <c r="D97" s="2">
        <v>1.54</v>
      </c>
      <c r="E97" s="2" t="s">
        <v>63</v>
      </c>
      <c r="F97" s="2" t="s">
        <v>91</v>
      </c>
      <c r="G97" s="2" t="s">
        <v>67</v>
      </c>
      <c r="H97" s="2" t="s">
        <v>68</v>
      </c>
      <c r="I97" s="2" t="s">
        <v>68</v>
      </c>
      <c r="J97" s="2" t="s">
        <v>70</v>
      </c>
      <c r="L97" s="2" t="s">
        <v>389</v>
      </c>
      <c r="O97" t="s">
        <v>72</v>
      </c>
      <c r="P97" s="2">
        <v>570376206</v>
      </c>
      <c r="R97" s="2">
        <v>11200</v>
      </c>
      <c r="S97" s="4">
        <f t="shared" si="2"/>
        <v>17248</v>
      </c>
      <c r="T97" s="4">
        <v>-97</v>
      </c>
      <c r="U97" s="4">
        <f t="shared" si="3"/>
        <v>517.44</v>
      </c>
      <c r="V97" s="5">
        <v>0.679</v>
      </c>
      <c r="W97" s="5">
        <v>0.645</v>
      </c>
      <c r="AU97" s="3" t="s">
        <v>73</v>
      </c>
      <c r="AW97" s="2" t="s">
        <v>93</v>
      </c>
      <c r="AZ97" t="s">
        <v>390</v>
      </c>
      <c r="BB97" s="7" t="str">
        <f>HYPERLINK("https://v360.in/diamondview.aspx?cid=preet&amp;d=HN-142-43","https://v360.in/diamondview.aspx?cid=preet&amp;d=HN-142-43")</f>
        <v>https://v360.in/diamondview.aspx?cid=preet&amp;d=HN-142-43</v>
      </c>
    </row>
    <row r="98" ht="15.75" spans="1:54">
      <c r="A98" s="2" t="s">
        <v>391</v>
      </c>
      <c r="B98" s="3" t="s">
        <v>63</v>
      </c>
      <c r="C98" s="2" t="s">
        <v>321</v>
      </c>
      <c r="D98" s="2">
        <v>1.53</v>
      </c>
      <c r="E98" s="2" t="s">
        <v>63</v>
      </c>
      <c r="F98" s="2" t="s">
        <v>91</v>
      </c>
      <c r="G98" s="2" t="s">
        <v>67</v>
      </c>
      <c r="H98" s="2" t="s">
        <v>68</v>
      </c>
      <c r="I98" s="2" t="s">
        <v>68</v>
      </c>
      <c r="J98" s="2" t="s">
        <v>70</v>
      </c>
      <c r="L98" s="2" t="s">
        <v>392</v>
      </c>
      <c r="O98" t="s">
        <v>72</v>
      </c>
      <c r="P98" s="2">
        <v>569328556</v>
      </c>
      <c r="R98" s="2">
        <v>11200</v>
      </c>
      <c r="S98" s="4">
        <f t="shared" si="2"/>
        <v>17136</v>
      </c>
      <c r="T98" s="4">
        <v>-97</v>
      </c>
      <c r="U98" s="4">
        <f t="shared" si="3"/>
        <v>514.08</v>
      </c>
      <c r="V98" s="5">
        <v>0.653</v>
      </c>
      <c r="W98" s="5">
        <v>0.645</v>
      </c>
      <c r="AU98" s="3" t="s">
        <v>73</v>
      </c>
      <c r="AW98" s="2" t="s">
        <v>93</v>
      </c>
      <c r="AZ98" t="s">
        <v>393</v>
      </c>
      <c r="BB98" s="7" t="str">
        <f>HYPERLINK("https://v360.in/diamondview.aspx?cid=preet&amp;d=HN-137-34","https://v360.in/diamondview.aspx?cid=preet&amp;d=HN-137-34")</f>
        <v>https://v360.in/diamondview.aspx?cid=preet&amp;d=HN-137-34</v>
      </c>
    </row>
    <row r="99" ht="15.75" spans="1:54">
      <c r="A99" s="2" t="s">
        <v>394</v>
      </c>
      <c r="B99" s="3" t="s">
        <v>63</v>
      </c>
      <c r="C99" s="2" t="s">
        <v>321</v>
      </c>
      <c r="D99" s="2">
        <v>1.52</v>
      </c>
      <c r="E99" s="2" t="s">
        <v>65</v>
      </c>
      <c r="F99" s="2" t="s">
        <v>91</v>
      </c>
      <c r="G99" s="2" t="s">
        <v>67</v>
      </c>
      <c r="H99" s="2" t="s">
        <v>68</v>
      </c>
      <c r="I99" s="2" t="s">
        <v>68</v>
      </c>
      <c r="J99" s="2" t="s">
        <v>70</v>
      </c>
      <c r="L99" s="2" t="s">
        <v>395</v>
      </c>
      <c r="O99" t="s">
        <v>72</v>
      </c>
      <c r="P99" s="2">
        <v>553217217</v>
      </c>
      <c r="R99" s="2">
        <v>12200</v>
      </c>
      <c r="S99" s="4">
        <f t="shared" si="2"/>
        <v>18544</v>
      </c>
      <c r="T99" s="4">
        <v>-97</v>
      </c>
      <c r="U99" s="4">
        <f t="shared" si="3"/>
        <v>556.32</v>
      </c>
      <c r="V99" s="2">
        <v>64</v>
      </c>
      <c r="W99" s="2">
        <v>68</v>
      </c>
      <c r="AU99" s="3" t="s">
        <v>73</v>
      </c>
      <c r="AW99" s="2" t="s">
        <v>74</v>
      </c>
      <c r="AZ99" t="s">
        <v>396</v>
      </c>
      <c r="BB99" s="7" t="str">
        <f>HYPERLINK("https://v360.in/diamondview.aspx?cid=preet&amp;d=HN-127-37","https://v360.in/diamondview.aspx?cid=preet&amp;d=HN-127-37")</f>
        <v>https://v360.in/diamondview.aspx?cid=preet&amp;d=HN-127-37</v>
      </c>
    </row>
    <row r="100" ht="15.75" spans="1:54">
      <c r="A100" s="2" t="s">
        <v>397</v>
      </c>
      <c r="B100" s="3" t="s">
        <v>63</v>
      </c>
      <c r="C100" s="2" t="s">
        <v>321</v>
      </c>
      <c r="D100" s="2">
        <v>1.52</v>
      </c>
      <c r="E100" s="2" t="s">
        <v>65</v>
      </c>
      <c r="F100" s="2" t="s">
        <v>155</v>
      </c>
      <c r="G100" s="2" t="s">
        <v>67</v>
      </c>
      <c r="H100" s="2" t="s">
        <v>68</v>
      </c>
      <c r="I100" s="2" t="s">
        <v>68</v>
      </c>
      <c r="J100" s="2" t="s">
        <v>70</v>
      </c>
      <c r="L100" s="2" t="s">
        <v>398</v>
      </c>
      <c r="O100" t="s">
        <v>72</v>
      </c>
      <c r="P100" s="2">
        <v>553219377</v>
      </c>
      <c r="R100" s="2">
        <v>9900</v>
      </c>
      <c r="S100" s="4">
        <f t="shared" si="2"/>
        <v>15048</v>
      </c>
      <c r="T100" s="4">
        <v>-97</v>
      </c>
      <c r="U100" s="4">
        <f t="shared" si="3"/>
        <v>451.44</v>
      </c>
      <c r="V100" s="5">
        <v>0.675</v>
      </c>
      <c r="W100" s="6">
        <v>0.64</v>
      </c>
      <c r="AU100" s="3" t="s">
        <v>73</v>
      </c>
      <c r="AW100" s="2" t="s">
        <v>74</v>
      </c>
      <c r="AZ100" t="s">
        <v>399</v>
      </c>
      <c r="BB100" s="7" t="str">
        <f>HYPERLINK("https://v360.in/diamondview.aspx?cid=preet&amp;d=HN-127-41","https://v360.in/diamondview.aspx?cid=preet&amp;d=HN-127-41")</f>
        <v>https://v360.in/diamondview.aspx?cid=preet&amp;d=HN-127-41</v>
      </c>
    </row>
    <row r="101" ht="15.75" spans="1:54">
      <c r="A101" s="2" t="s">
        <v>400</v>
      </c>
      <c r="B101" s="3" t="s">
        <v>63</v>
      </c>
      <c r="C101" s="2" t="s">
        <v>321</v>
      </c>
      <c r="D101" s="2">
        <v>1.52</v>
      </c>
      <c r="E101" s="2" t="s">
        <v>63</v>
      </c>
      <c r="F101" s="2" t="s">
        <v>155</v>
      </c>
      <c r="G101" s="2" t="s">
        <v>67</v>
      </c>
      <c r="H101" s="2" t="s">
        <v>68</v>
      </c>
      <c r="I101" s="2" t="s">
        <v>68</v>
      </c>
      <c r="J101" s="2" t="s">
        <v>70</v>
      </c>
      <c r="L101" s="2" t="s">
        <v>401</v>
      </c>
      <c r="O101" t="s">
        <v>72</v>
      </c>
      <c r="P101" s="2">
        <v>560231270</v>
      </c>
      <c r="R101" s="2">
        <v>9200</v>
      </c>
      <c r="S101" s="4">
        <f t="shared" si="2"/>
        <v>13984</v>
      </c>
      <c r="T101" s="4">
        <v>-97</v>
      </c>
      <c r="U101" s="4">
        <f t="shared" si="3"/>
        <v>419.52</v>
      </c>
      <c r="V101" s="2">
        <v>68</v>
      </c>
      <c r="W101" s="2">
        <v>66</v>
      </c>
      <c r="AU101" s="3" t="s">
        <v>73</v>
      </c>
      <c r="AW101" s="2" t="s">
        <v>74</v>
      </c>
      <c r="AZ101" t="s">
        <v>402</v>
      </c>
      <c r="BB101" s="7" t="str">
        <f>HYPERLINK("https://v360.in/diamondview.aspx?cid=preet&amp;d=HN-129-10","https://v360.in/diamondview.aspx?cid=preet&amp;d=HN-129-10")</f>
        <v>https://v360.in/diamondview.aspx?cid=preet&amp;d=HN-129-10</v>
      </c>
    </row>
    <row r="102" ht="15.75" spans="1:54">
      <c r="A102" s="2" t="s">
        <v>403</v>
      </c>
      <c r="B102" s="3" t="s">
        <v>63</v>
      </c>
      <c r="C102" s="2" t="s">
        <v>321</v>
      </c>
      <c r="D102" s="2">
        <v>1.51</v>
      </c>
      <c r="E102" s="2" t="s">
        <v>65</v>
      </c>
      <c r="F102" s="2" t="s">
        <v>143</v>
      </c>
      <c r="G102" s="2" t="s">
        <v>67</v>
      </c>
      <c r="H102" s="2" t="s">
        <v>68</v>
      </c>
      <c r="I102" s="2" t="s">
        <v>68</v>
      </c>
      <c r="J102" s="2" t="s">
        <v>70</v>
      </c>
      <c r="L102" s="2" t="s">
        <v>404</v>
      </c>
      <c r="O102" t="s">
        <v>72</v>
      </c>
      <c r="P102" s="2">
        <v>571307676</v>
      </c>
      <c r="R102" s="2">
        <v>7500</v>
      </c>
      <c r="S102" s="4">
        <f t="shared" si="2"/>
        <v>11325</v>
      </c>
      <c r="T102" s="4">
        <v>-97</v>
      </c>
      <c r="U102" s="4">
        <f t="shared" si="3"/>
        <v>339.75</v>
      </c>
      <c r="V102" s="5">
        <v>0.675</v>
      </c>
      <c r="W102" s="6">
        <v>0.62</v>
      </c>
      <c r="AU102" s="3" t="s">
        <v>73</v>
      </c>
      <c r="AW102" s="2" t="s">
        <v>93</v>
      </c>
      <c r="AZ102" t="s">
        <v>405</v>
      </c>
      <c r="BB102" s="7" t="s">
        <v>406</v>
      </c>
    </row>
    <row r="103" ht="15.75" spans="1:54">
      <c r="A103" s="2" t="s">
        <v>407</v>
      </c>
      <c r="B103" s="3" t="s">
        <v>63</v>
      </c>
      <c r="C103" s="2" t="s">
        <v>321</v>
      </c>
      <c r="D103" s="2">
        <v>1.51</v>
      </c>
      <c r="E103" s="2" t="s">
        <v>65</v>
      </c>
      <c r="F103" s="2" t="s">
        <v>66</v>
      </c>
      <c r="G103" s="2" t="s">
        <v>67</v>
      </c>
      <c r="H103" s="2" t="s">
        <v>68</v>
      </c>
      <c r="I103" s="2" t="s">
        <v>68</v>
      </c>
      <c r="J103" s="2" t="s">
        <v>70</v>
      </c>
      <c r="L103" s="2" t="s">
        <v>408</v>
      </c>
      <c r="O103" t="s">
        <v>72</v>
      </c>
      <c r="P103" s="2">
        <v>553219372</v>
      </c>
      <c r="R103" s="2">
        <v>11200</v>
      </c>
      <c r="S103" s="4">
        <f t="shared" si="2"/>
        <v>16912</v>
      </c>
      <c r="T103" s="4">
        <v>-97</v>
      </c>
      <c r="U103" s="4">
        <f t="shared" si="3"/>
        <v>507.36</v>
      </c>
      <c r="V103" s="5">
        <v>0.703</v>
      </c>
      <c r="W103" s="6">
        <v>0.65</v>
      </c>
      <c r="AU103" s="3" t="s">
        <v>73</v>
      </c>
      <c r="AW103" s="2" t="s">
        <v>74</v>
      </c>
      <c r="AZ103" t="s">
        <v>409</v>
      </c>
      <c r="BB103" s="7" t="str">
        <f>HYPERLINK("https://v360.in/diamondview.aspx?cid=preet&amp;d=HN-128-19","https://v360.in/diamondview.aspx?cid=preet&amp;d=HN-128-19")</f>
        <v>https://v360.in/diamondview.aspx?cid=preet&amp;d=HN-128-19</v>
      </c>
    </row>
    <row r="104" ht="15.75" spans="1:54">
      <c r="A104" s="2" t="s">
        <v>410</v>
      </c>
      <c r="B104" s="3" t="s">
        <v>63</v>
      </c>
      <c r="C104" s="2" t="s">
        <v>321</v>
      </c>
      <c r="D104" s="2">
        <v>1.5</v>
      </c>
      <c r="E104" s="2" t="s">
        <v>65</v>
      </c>
      <c r="F104" s="2" t="s">
        <v>66</v>
      </c>
      <c r="G104" s="2" t="s">
        <v>67</v>
      </c>
      <c r="H104" s="2" t="s">
        <v>68</v>
      </c>
      <c r="I104" s="2" t="s">
        <v>68</v>
      </c>
      <c r="J104" s="2" t="s">
        <v>70</v>
      </c>
      <c r="L104" s="2" t="s">
        <v>411</v>
      </c>
      <c r="O104" t="s">
        <v>72</v>
      </c>
      <c r="P104" s="2">
        <v>546216041</v>
      </c>
      <c r="R104" s="2">
        <v>11200</v>
      </c>
      <c r="S104" s="4">
        <f t="shared" si="2"/>
        <v>16800</v>
      </c>
      <c r="T104" s="4">
        <v>-97</v>
      </c>
      <c r="U104" s="4">
        <f t="shared" si="3"/>
        <v>504</v>
      </c>
      <c r="V104" s="5">
        <v>0.674</v>
      </c>
      <c r="W104" s="5">
        <v>0.685</v>
      </c>
      <c r="AU104" s="3" t="s">
        <v>73</v>
      </c>
      <c r="AW104" s="2" t="s">
        <v>74</v>
      </c>
      <c r="AZ104" t="s">
        <v>412</v>
      </c>
      <c r="BB104" s="7" t="str">
        <f>HYPERLINK("https://v360.in/diamondview.aspx?cid=meet&amp;d=HN-85-107","https://v360.in/diamondview.aspx?cid=meet&amp;d=HN-85-107")</f>
        <v>https://v360.in/diamondview.aspx?cid=meet&amp;d=HN-85-107</v>
      </c>
    </row>
    <row r="105" ht="15.75" spans="1:54">
      <c r="A105" s="2" t="s">
        <v>413</v>
      </c>
      <c r="B105" s="3" t="s">
        <v>63</v>
      </c>
      <c r="C105" s="2" t="s">
        <v>321</v>
      </c>
      <c r="D105" s="2">
        <v>1.5</v>
      </c>
      <c r="E105" s="2" t="s">
        <v>65</v>
      </c>
      <c r="F105" s="2" t="s">
        <v>66</v>
      </c>
      <c r="G105" s="2" t="s">
        <v>67</v>
      </c>
      <c r="H105" s="2" t="s">
        <v>68</v>
      </c>
      <c r="I105" s="2" t="s">
        <v>68</v>
      </c>
      <c r="J105" s="2" t="s">
        <v>70</v>
      </c>
      <c r="L105" s="2" t="s">
        <v>414</v>
      </c>
      <c r="O105" t="s">
        <v>72</v>
      </c>
      <c r="P105" s="2">
        <v>571307675</v>
      </c>
      <c r="R105" s="2">
        <v>11200</v>
      </c>
      <c r="S105" s="4">
        <f t="shared" si="2"/>
        <v>16800</v>
      </c>
      <c r="T105" s="4">
        <v>-97</v>
      </c>
      <c r="U105" s="4">
        <f t="shared" si="3"/>
        <v>504</v>
      </c>
      <c r="V105" s="6">
        <v>0.67</v>
      </c>
      <c r="W105" s="6">
        <v>0.67</v>
      </c>
      <c r="AU105" s="3" t="s">
        <v>73</v>
      </c>
      <c r="AW105" s="2" t="s">
        <v>93</v>
      </c>
      <c r="AZ105" t="s">
        <v>415</v>
      </c>
      <c r="BB105" s="7" t="s">
        <v>416</v>
      </c>
    </row>
    <row r="106" ht="15.75" spans="1:54">
      <c r="A106" s="2" t="s">
        <v>417</v>
      </c>
      <c r="B106" s="3" t="s">
        <v>63</v>
      </c>
      <c r="C106" s="2" t="s">
        <v>321</v>
      </c>
      <c r="D106" s="2">
        <v>1.5</v>
      </c>
      <c r="E106" s="2" t="s">
        <v>65</v>
      </c>
      <c r="F106" s="2" t="s">
        <v>91</v>
      </c>
      <c r="G106" s="2" t="s">
        <v>67</v>
      </c>
      <c r="H106" s="2" t="s">
        <v>68</v>
      </c>
      <c r="I106" s="2" t="s">
        <v>68</v>
      </c>
      <c r="J106" s="2" t="s">
        <v>70</v>
      </c>
      <c r="L106" s="2" t="s">
        <v>418</v>
      </c>
      <c r="O106" t="s">
        <v>72</v>
      </c>
      <c r="P106" s="2">
        <v>570376208</v>
      </c>
      <c r="R106" s="2">
        <v>12200</v>
      </c>
      <c r="S106" s="4">
        <f t="shared" si="2"/>
        <v>18300</v>
      </c>
      <c r="T106" s="4">
        <v>-97</v>
      </c>
      <c r="U106" s="4">
        <f t="shared" si="3"/>
        <v>549</v>
      </c>
      <c r="V106" s="5">
        <v>0.627</v>
      </c>
      <c r="W106" s="6">
        <v>0.66</v>
      </c>
      <c r="AU106" s="3" t="s">
        <v>73</v>
      </c>
      <c r="AW106" s="2" t="s">
        <v>93</v>
      </c>
      <c r="AZ106" t="s">
        <v>419</v>
      </c>
      <c r="BB106" s="7" t="str">
        <f>HYPERLINK("https://v360.in/diamondview.aspx?cid=preet&amp;d=HN-142-38","https://v360.in/diamondview.aspx?cid=preet&amp;d=HN-142-38")</f>
        <v>https://v360.in/diamondview.aspx?cid=preet&amp;d=HN-142-38</v>
      </c>
    </row>
    <row r="107" ht="15.75" spans="1:54">
      <c r="A107" s="2" t="s">
        <v>420</v>
      </c>
      <c r="B107" s="3" t="s">
        <v>63</v>
      </c>
      <c r="C107" s="2" t="s">
        <v>321</v>
      </c>
      <c r="D107" s="2">
        <v>1.5</v>
      </c>
      <c r="E107" s="2" t="s">
        <v>63</v>
      </c>
      <c r="F107" s="2" t="s">
        <v>91</v>
      </c>
      <c r="G107" s="2" t="s">
        <v>67</v>
      </c>
      <c r="H107" s="2" t="s">
        <v>68</v>
      </c>
      <c r="I107" s="2" t="s">
        <v>68</v>
      </c>
      <c r="J107" s="2" t="s">
        <v>70</v>
      </c>
      <c r="L107" s="2" t="s">
        <v>421</v>
      </c>
      <c r="O107" t="s">
        <v>72</v>
      </c>
      <c r="P107" s="2">
        <v>570376211</v>
      </c>
      <c r="R107" s="2">
        <v>11200</v>
      </c>
      <c r="S107" s="4">
        <f t="shared" si="2"/>
        <v>16800</v>
      </c>
      <c r="T107" s="4">
        <v>-97</v>
      </c>
      <c r="U107" s="4">
        <f t="shared" si="3"/>
        <v>504</v>
      </c>
      <c r="V107" s="5">
        <v>0.658</v>
      </c>
      <c r="W107" s="6">
        <v>0.64</v>
      </c>
      <c r="AU107" s="3" t="s">
        <v>73</v>
      </c>
      <c r="AW107" s="2" t="s">
        <v>93</v>
      </c>
      <c r="AZ107" t="s">
        <v>422</v>
      </c>
      <c r="BB107" s="7" t="s">
        <v>423</v>
      </c>
    </row>
    <row r="108" ht="15.75" spans="1:54">
      <c r="A108" s="2" t="s">
        <v>424</v>
      </c>
      <c r="B108" s="3" t="s">
        <v>63</v>
      </c>
      <c r="C108" s="2" t="s">
        <v>321</v>
      </c>
      <c r="D108" s="2">
        <v>1.47</v>
      </c>
      <c r="E108" s="2" t="s">
        <v>65</v>
      </c>
      <c r="F108" s="2" t="s">
        <v>143</v>
      </c>
      <c r="G108" s="2" t="s">
        <v>67</v>
      </c>
      <c r="H108" s="2" t="s">
        <v>68</v>
      </c>
      <c r="I108" s="2" t="s">
        <v>68</v>
      </c>
      <c r="J108" s="2" t="s">
        <v>70</v>
      </c>
      <c r="L108" s="2" t="s">
        <v>425</v>
      </c>
      <c r="O108" t="s">
        <v>72</v>
      </c>
      <c r="P108" s="2">
        <v>571301039</v>
      </c>
      <c r="R108" s="2">
        <v>8000</v>
      </c>
      <c r="S108" s="4">
        <f t="shared" si="2"/>
        <v>11760</v>
      </c>
      <c r="T108" s="4">
        <v>-97</v>
      </c>
      <c r="U108" s="4">
        <f t="shared" si="3"/>
        <v>352.8</v>
      </c>
      <c r="V108" s="5">
        <v>0.654</v>
      </c>
      <c r="W108" s="5">
        <v>0.685</v>
      </c>
      <c r="AU108" s="3" t="s">
        <v>73</v>
      </c>
      <c r="AW108" s="2" t="s">
        <v>93</v>
      </c>
      <c r="AZ108" t="s">
        <v>426</v>
      </c>
      <c r="BB108" s="7" t="str">
        <f>HYPERLINK("https://v360.in/diamondview.aspx?cid=preet&amp;d=HN-141-38","https://v360.in/diamondview.aspx?cid=preet&amp;d=HN-141-38")</f>
        <v>https://v360.in/diamondview.aspx?cid=preet&amp;d=HN-141-38</v>
      </c>
    </row>
    <row r="109" ht="15.75" spans="1:54">
      <c r="A109" s="2" t="s">
        <v>427</v>
      </c>
      <c r="B109" s="3" t="s">
        <v>63</v>
      </c>
      <c r="C109" s="2" t="s">
        <v>321</v>
      </c>
      <c r="D109" s="2">
        <v>1.44</v>
      </c>
      <c r="E109" s="2" t="s">
        <v>119</v>
      </c>
      <c r="F109" s="2" t="s">
        <v>91</v>
      </c>
      <c r="G109" s="2" t="s">
        <v>67</v>
      </c>
      <c r="H109" s="2" t="s">
        <v>68</v>
      </c>
      <c r="I109" s="2" t="s">
        <v>68</v>
      </c>
      <c r="J109" s="2" t="s">
        <v>70</v>
      </c>
      <c r="L109" s="2" t="s">
        <v>428</v>
      </c>
      <c r="O109" t="s">
        <v>72</v>
      </c>
      <c r="P109" s="2">
        <v>551214607</v>
      </c>
      <c r="R109" s="2">
        <v>8000</v>
      </c>
      <c r="S109" s="4">
        <f t="shared" si="2"/>
        <v>11520</v>
      </c>
      <c r="T109" s="4">
        <v>-97</v>
      </c>
      <c r="U109" s="4">
        <f t="shared" si="3"/>
        <v>345.6</v>
      </c>
      <c r="V109" s="5">
        <v>0.668</v>
      </c>
      <c r="W109" s="5">
        <v>0.685</v>
      </c>
      <c r="AU109" s="3" t="s">
        <v>73</v>
      </c>
      <c r="AW109" s="2" t="s">
        <v>74</v>
      </c>
      <c r="AZ109" t="s">
        <v>429</v>
      </c>
      <c r="BB109" s="7" t="str">
        <f>HYPERLINK("https://v360.in/diamondview.aspx?cid=preet&amp;d=HN-127-40","https://v360.in/diamondview.aspx?cid=preet&amp;d=HN-127-40")</f>
        <v>https://v360.in/diamondview.aspx?cid=preet&amp;d=HN-127-40</v>
      </c>
    </row>
    <row r="110" ht="15.75" spans="1:54">
      <c r="A110" s="2" t="s">
        <v>430</v>
      </c>
      <c r="B110" s="3" t="s">
        <v>63</v>
      </c>
      <c r="C110" s="2" t="s">
        <v>321</v>
      </c>
      <c r="D110" s="2">
        <v>1.41</v>
      </c>
      <c r="E110" s="2" t="s">
        <v>119</v>
      </c>
      <c r="F110" s="2" t="s">
        <v>91</v>
      </c>
      <c r="G110" s="2" t="s">
        <v>67</v>
      </c>
      <c r="H110" s="2" t="s">
        <v>68</v>
      </c>
      <c r="I110" s="2" t="s">
        <v>68</v>
      </c>
      <c r="J110" s="2" t="s">
        <v>70</v>
      </c>
      <c r="L110" s="2" t="s">
        <v>431</v>
      </c>
      <c r="O110" t="s">
        <v>72</v>
      </c>
      <c r="P110" s="2">
        <v>570376193</v>
      </c>
      <c r="R110" s="2">
        <v>8000</v>
      </c>
      <c r="S110" s="4">
        <f t="shared" si="2"/>
        <v>11280</v>
      </c>
      <c r="T110" s="4">
        <v>-97</v>
      </c>
      <c r="U110" s="4">
        <f t="shared" si="3"/>
        <v>338.4</v>
      </c>
      <c r="V110" s="5">
        <v>0.661</v>
      </c>
      <c r="W110" s="5">
        <v>0.655</v>
      </c>
      <c r="AU110" s="3" t="s">
        <v>73</v>
      </c>
      <c r="AW110" s="2" t="s">
        <v>93</v>
      </c>
      <c r="AZ110" t="s">
        <v>432</v>
      </c>
      <c r="BB110" s="7" t="str">
        <f>HYPERLINK("https://v360.in/diamondview.aspx?cid=preet&amp;d=HN-148-8","https://v360.in/diamondview.aspx?cid=preet&amp;d=HN-148-8")</f>
        <v>https://v360.in/diamondview.aspx?cid=preet&amp;d=HN-148-8</v>
      </c>
    </row>
    <row r="111" ht="15.75" spans="1:54">
      <c r="A111" s="2" t="s">
        <v>433</v>
      </c>
      <c r="B111" s="3" t="s">
        <v>63</v>
      </c>
      <c r="C111" s="2" t="s">
        <v>321</v>
      </c>
      <c r="D111" s="2">
        <v>1.29</v>
      </c>
      <c r="E111" s="2" t="s">
        <v>63</v>
      </c>
      <c r="F111" s="2" t="s">
        <v>91</v>
      </c>
      <c r="G111" s="2" t="s">
        <v>67</v>
      </c>
      <c r="H111" s="2" t="s">
        <v>68</v>
      </c>
      <c r="I111" s="2" t="s">
        <v>68</v>
      </c>
      <c r="J111" s="2" t="s">
        <v>70</v>
      </c>
      <c r="L111" s="2" t="s">
        <v>434</v>
      </c>
      <c r="O111" t="s">
        <v>72</v>
      </c>
      <c r="P111" s="2">
        <v>524211508</v>
      </c>
      <c r="R111" s="2">
        <v>7000</v>
      </c>
      <c r="S111" s="4">
        <f t="shared" si="2"/>
        <v>9030</v>
      </c>
      <c r="T111" s="4">
        <v>-97</v>
      </c>
      <c r="U111" s="4">
        <f t="shared" si="3"/>
        <v>270.9</v>
      </c>
      <c r="V111" s="5">
        <v>0.622</v>
      </c>
      <c r="W111" s="5">
        <v>0.675</v>
      </c>
      <c r="AU111" s="3" t="s">
        <v>73</v>
      </c>
      <c r="AW111" s="2" t="s">
        <v>74</v>
      </c>
      <c r="AZ111" t="s">
        <v>435</v>
      </c>
      <c r="BB111" s="7" t="str">
        <f>HYPERLINK("https://view.gem360.in/gem360/3004220446-HN43-94/gem360-3004220446-HN43-94.html","https://view.gem360.in/gem360/3004220446-HN43-94/gem360-3004220446-HN43-94.html")</f>
        <v>https://view.gem360.in/gem360/3004220446-HN43-94/gem360-3004220446-HN43-94.html</v>
      </c>
    </row>
    <row r="112" ht="15.75" spans="1:54">
      <c r="A112" s="2" t="s">
        <v>436</v>
      </c>
      <c r="B112" s="3" t="s">
        <v>63</v>
      </c>
      <c r="C112" s="2" t="s">
        <v>321</v>
      </c>
      <c r="D112" s="2">
        <v>1.27</v>
      </c>
      <c r="E112" s="2" t="s">
        <v>63</v>
      </c>
      <c r="F112" s="2" t="s">
        <v>91</v>
      </c>
      <c r="G112" s="2" t="s">
        <v>67</v>
      </c>
      <c r="H112" s="2" t="s">
        <v>68</v>
      </c>
      <c r="I112" s="2" t="s">
        <v>68</v>
      </c>
      <c r="J112" s="2" t="s">
        <v>70</v>
      </c>
      <c r="L112" s="2" t="s">
        <v>437</v>
      </c>
      <c r="O112" t="s">
        <v>72</v>
      </c>
      <c r="P112" s="2">
        <v>570370826</v>
      </c>
      <c r="R112" s="2">
        <v>7000</v>
      </c>
      <c r="S112" s="4">
        <f t="shared" si="2"/>
        <v>8890</v>
      </c>
      <c r="T112" s="4">
        <v>-97</v>
      </c>
      <c r="U112" s="4">
        <f t="shared" si="3"/>
        <v>266.7</v>
      </c>
      <c r="V112" s="5">
        <v>0.609</v>
      </c>
      <c r="W112" s="5">
        <v>0.725</v>
      </c>
      <c r="AU112" s="3" t="s">
        <v>73</v>
      </c>
      <c r="AW112" s="2" t="s">
        <v>93</v>
      </c>
      <c r="AZ112" t="s">
        <v>438</v>
      </c>
      <c r="BB112" s="7" t="str">
        <f>HYPERLINK("https://v360.in/diamondview.aspx?cid=preet&amp;d=HN-147-20","https://v360.in/diamondview.aspx?cid=preet&amp;d=HN-147-20")</f>
        <v>https://v360.in/diamondview.aspx?cid=preet&amp;d=HN-147-20</v>
      </c>
    </row>
    <row r="113" ht="15.75" spans="1:54">
      <c r="A113" s="2" t="s">
        <v>439</v>
      </c>
      <c r="B113" s="3" t="s">
        <v>63</v>
      </c>
      <c r="C113" s="2" t="s">
        <v>321</v>
      </c>
      <c r="D113" s="2">
        <v>1.26</v>
      </c>
      <c r="E113" s="2" t="s">
        <v>65</v>
      </c>
      <c r="F113" s="2" t="s">
        <v>91</v>
      </c>
      <c r="G113" s="2" t="s">
        <v>67</v>
      </c>
      <c r="H113" s="2" t="s">
        <v>68</v>
      </c>
      <c r="I113" s="2" t="s">
        <v>68</v>
      </c>
      <c r="J113" s="2" t="s">
        <v>70</v>
      </c>
      <c r="L113" s="2" t="s">
        <v>440</v>
      </c>
      <c r="O113" t="s">
        <v>72</v>
      </c>
      <c r="P113" s="2">
        <v>566393810</v>
      </c>
      <c r="R113" s="2">
        <v>7500</v>
      </c>
      <c r="S113" s="4">
        <f t="shared" si="2"/>
        <v>9450</v>
      </c>
      <c r="T113" s="4">
        <v>-97</v>
      </c>
      <c r="U113" s="4">
        <f t="shared" si="3"/>
        <v>283.5</v>
      </c>
      <c r="V113" s="5">
        <v>0.617</v>
      </c>
      <c r="W113" s="5">
        <v>0.685</v>
      </c>
      <c r="AU113" s="3" t="s">
        <v>73</v>
      </c>
      <c r="AW113" s="2" t="s">
        <v>93</v>
      </c>
      <c r="AZ113" t="s">
        <v>441</v>
      </c>
      <c r="BB113" s="7" t="str">
        <f>HYPERLINK("https://v360.in/diamondview.aspx?cid=preet&amp;d=HN-135-34","https://v360.in/diamondview.aspx?cid=preet&amp;d=HN-135-34")</f>
        <v>https://v360.in/diamondview.aspx?cid=preet&amp;d=HN-135-34</v>
      </c>
    </row>
    <row r="114" ht="15.75" spans="1:54">
      <c r="A114" s="2" t="s">
        <v>442</v>
      </c>
      <c r="B114" s="3" t="s">
        <v>63</v>
      </c>
      <c r="C114" s="2" t="s">
        <v>321</v>
      </c>
      <c r="D114" s="2">
        <v>1.23</v>
      </c>
      <c r="E114" s="2" t="s">
        <v>63</v>
      </c>
      <c r="F114" s="2" t="s">
        <v>143</v>
      </c>
      <c r="G114" s="2" t="s">
        <v>67</v>
      </c>
      <c r="H114" s="2" t="s">
        <v>68</v>
      </c>
      <c r="I114" s="2" t="s">
        <v>68</v>
      </c>
      <c r="J114" s="2" t="s">
        <v>70</v>
      </c>
      <c r="L114" s="2" t="s">
        <v>443</v>
      </c>
      <c r="O114" t="s">
        <v>72</v>
      </c>
      <c r="P114" s="2">
        <v>569328558</v>
      </c>
      <c r="R114" s="2">
        <v>7300</v>
      </c>
      <c r="S114" s="4">
        <f t="shared" si="2"/>
        <v>8979</v>
      </c>
      <c r="T114" s="4">
        <v>-97</v>
      </c>
      <c r="U114" s="4">
        <f t="shared" si="3"/>
        <v>269.37</v>
      </c>
      <c r="V114" s="5">
        <v>0.651</v>
      </c>
      <c r="W114" s="5">
        <v>0.645</v>
      </c>
      <c r="AU114" s="3" t="s">
        <v>73</v>
      </c>
      <c r="AW114" s="2" t="s">
        <v>93</v>
      </c>
      <c r="AZ114" t="s">
        <v>444</v>
      </c>
      <c r="BB114" s="7" t="str">
        <f>HYPERLINK("https://v360.in/diamondview.aspx?cid=preet&amp;d=HN-137-33","https://v360.in/diamondview.aspx?cid=preet&amp;d=HN-137-33")</f>
        <v>https://v360.in/diamondview.aspx?cid=preet&amp;d=HN-137-33</v>
      </c>
    </row>
    <row r="115" ht="15.75" spans="1:54">
      <c r="A115" s="2" t="s">
        <v>445</v>
      </c>
      <c r="B115" s="3" t="s">
        <v>63</v>
      </c>
      <c r="C115" s="2" t="s">
        <v>321</v>
      </c>
      <c r="D115" s="2">
        <v>1.22</v>
      </c>
      <c r="E115" s="2" t="s">
        <v>63</v>
      </c>
      <c r="F115" s="2" t="s">
        <v>66</v>
      </c>
      <c r="G115" s="2" t="s">
        <v>67</v>
      </c>
      <c r="H115" s="2" t="s">
        <v>68</v>
      </c>
      <c r="I115" s="2" t="s">
        <v>68</v>
      </c>
      <c r="J115" s="2" t="s">
        <v>70</v>
      </c>
      <c r="L115" s="2" t="s">
        <v>446</v>
      </c>
      <c r="O115" t="s">
        <v>72</v>
      </c>
      <c r="P115" s="2">
        <v>570376189</v>
      </c>
      <c r="R115" s="2">
        <v>6600</v>
      </c>
      <c r="S115" s="4">
        <f t="shared" si="2"/>
        <v>8052</v>
      </c>
      <c r="T115" s="4">
        <v>-97</v>
      </c>
      <c r="U115" s="4">
        <f t="shared" si="3"/>
        <v>241.56</v>
      </c>
      <c r="V115" s="5">
        <v>0.659</v>
      </c>
      <c r="W115" s="5">
        <v>0.705</v>
      </c>
      <c r="AU115" s="3" t="s">
        <v>73</v>
      </c>
      <c r="AW115" s="2" t="s">
        <v>93</v>
      </c>
      <c r="AZ115" t="s">
        <v>447</v>
      </c>
      <c r="BB115" s="7" t="str">
        <f>HYPERLINK("https://v360.in/diamondview.aspx?cid=preet&amp;d=HN-148-3","https://v360.in/diamondview.aspx?cid=preet&amp;d=HN-148-3")</f>
        <v>https://v360.in/diamondview.aspx?cid=preet&amp;d=HN-148-3</v>
      </c>
    </row>
    <row r="116" ht="15.75" spans="1:54">
      <c r="A116" s="2" t="s">
        <v>448</v>
      </c>
      <c r="B116" s="3" t="s">
        <v>63</v>
      </c>
      <c r="C116" s="2" t="s">
        <v>321</v>
      </c>
      <c r="D116" s="2">
        <v>1.19</v>
      </c>
      <c r="E116" s="2" t="s">
        <v>65</v>
      </c>
      <c r="F116" s="2" t="s">
        <v>91</v>
      </c>
      <c r="G116" s="2" t="s">
        <v>67</v>
      </c>
      <c r="H116" s="2" t="s">
        <v>68</v>
      </c>
      <c r="I116" s="2" t="s">
        <v>68</v>
      </c>
      <c r="J116" s="2" t="s">
        <v>70</v>
      </c>
      <c r="L116" s="2" t="s">
        <v>449</v>
      </c>
      <c r="O116" t="s">
        <v>72</v>
      </c>
      <c r="P116" s="2">
        <v>571301037</v>
      </c>
      <c r="R116" s="2">
        <v>7500</v>
      </c>
      <c r="S116" s="4">
        <f t="shared" si="2"/>
        <v>8925</v>
      </c>
      <c r="T116" s="4">
        <v>-97</v>
      </c>
      <c r="U116" s="4">
        <f t="shared" si="3"/>
        <v>267.75</v>
      </c>
      <c r="V116" s="5">
        <v>0.674</v>
      </c>
      <c r="W116" s="6">
        <v>0.68</v>
      </c>
      <c r="AU116" s="3" t="s">
        <v>73</v>
      </c>
      <c r="AW116" s="2" t="s">
        <v>93</v>
      </c>
      <c r="AZ116" t="s">
        <v>450</v>
      </c>
      <c r="BB116" s="7" t="str">
        <f>HYPERLINK("https://v360.in/diamondview.aspx?cid=preet&amp;d=HN-141-36","https://v360.in/diamondview.aspx?cid=preet&amp;d=HN-141-36")</f>
        <v>https://v360.in/diamondview.aspx?cid=preet&amp;d=HN-141-36</v>
      </c>
    </row>
    <row r="117" ht="15.75" spans="1:54">
      <c r="A117" s="2" t="s">
        <v>451</v>
      </c>
      <c r="B117" s="3" t="s">
        <v>63</v>
      </c>
      <c r="C117" s="2" t="s">
        <v>321</v>
      </c>
      <c r="D117" s="2">
        <v>1.18</v>
      </c>
      <c r="E117" s="2" t="s">
        <v>65</v>
      </c>
      <c r="F117" s="2" t="s">
        <v>91</v>
      </c>
      <c r="G117" s="2" t="s">
        <v>67</v>
      </c>
      <c r="H117" s="2" t="s">
        <v>68</v>
      </c>
      <c r="I117" s="2" t="s">
        <v>68</v>
      </c>
      <c r="J117" s="2" t="s">
        <v>70</v>
      </c>
      <c r="L117" s="2" t="s">
        <v>452</v>
      </c>
      <c r="O117" t="s">
        <v>72</v>
      </c>
      <c r="P117" s="2">
        <v>550231423</v>
      </c>
      <c r="R117" s="2">
        <v>7500</v>
      </c>
      <c r="S117" s="4">
        <f t="shared" si="2"/>
        <v>8850</v>
      </c>
      <c r="T117" s="4">
        <v>-97</v>
      </c>
      <c r="U117" s="4">
        <f t="shared" si="3"/>
        <v>265.5</v>
      </c>
      <c r="V117" s="5">
        <v>0.685</v>
      </c>
      <c r="W117" s="2">
        <v>72</v>
      </c>
      <c r="AU117" s="3" t="s">
        <v>73</v>
      </c>
      <c r="AW117" s="2" t="s">
        <v>74</v>
      </c>
      <c r="AZ117" t="s">
        <v>453</v>
      </c>
      <c r="BB117" s="7" t="str">
        <f>HYPERLINK("https://v360.in/diamondview.aspx?cid=preet&amp;d=HN-101-41","https://v360.in/diamondview.aspx?cid=preet&amp;d=HN-101-41")</f>
        <v>https://v360.in/diamondview.aspx?cid=preet&amp;d=HN-101-41</v>
      </c>
    </row>
    <row r="118" ht="15.75" spans="1:54">
      <c r="A118" s="2" t="s">
        <v>454</v>
      </c>
      <c r="B118" s="3" t="s">
        <v>63</v>
      </c>
      <c r="C118" s="2" t="s">
        <v>321</v>
      </c>
      <c r="D118" s="2">
        <v>1.13</v>
      </c>
      <c r="E118" s="2" t="s">
        <v>65</v>
      </c>
      <c r="F118" s="2" t="s">
        <v>91</v>
      </c>
      <c r="G118" s="2" t="s">
        <v>67</v>
      </c>
      <c r="H118" s="2" t="s">
        <v>68</v>
      </c>
      <c r="I118" s="2" t="s">
        <v>69</v>
      </c>
      <c r="J118" s="2" t="s">
        <v>70</v>
      </c>
      <c r="L118" s="2" t="s">
        <v>455</v>
      </c>
      <c r="O118" t="s">
        <v>72</v>
      </c>
      <c r="P118" s="2">
        <v>566393807</v>
      </c>
      <c r="R118" s="2">
        <v>7500</v>
      </c>
      <c r="S118" s="4">
        <f t="shared" si="2"/>
        <v>8475</v>
      </c>
      <c r="T118" s="4">
        <v>-97</v>
      </c>
      <c r="U118" s="4">
        <f t="shared" si="3"/>
        <v>254.25</v>
      </c>
      <c r="V118" s="6">
        <v>0.7</v>
      </c>
      <c r="W118" s="6">
        <v>0.65</v>
      </c>
      <c r="AU118" s="3" t="s">
        <v>73</v>
      </c>
      <c r="AW118" s="2" t="s">
        <v>93</v>
      </c>
      <c r="AZ118" t="s">
        <v>456</v>
      </c>
      <c r="BB118" s="7" t="str">
        <f>HYPERLINK("https://v360.in/diamondview.aspx?cid=preet&amp;d=HN-135-29","https://v360.in/diamondview.aspx?cid=preet&amp;d=HN-135-29")</f>
        <v>https://v360.in/diamondview.aspx?cid=preet&amp;d=HN-135-29</v>
      </c>
    </row>
    <row r="119" ht="15.75" spans="1:54">
      <c r="A119" s="2" t="s">
        <v>457</v>
      </c>
      <c r="B119" s="3" t="s">
        <v>63</v>
      </c>
      <c r="C119" s="2" t="s">
        <v>321</v>
      </c>
      <c r="D119" s="2">
        <v>1.13</v>
      </c>
      <c r="E119" s="2" t="s">
        <v>65</v>
      </c>
      <c r="F119" s="2" t="s">
        <v>91</v>
      </c>
      <c r="G119" s="2" t="s">
        <v>67</v>
      </c>
      <c r="H119" s="2" t="s">
        <v>68</v>
      </c>
      <c r="I119" s="2" t="s">
        <v>68</v>
      </c>
      <c r="J119" s="2" t="s">
        <v>70</v>
      </c>
      <c r="L119" s="2" t="s">
        <v>458</v>
      </c>
      <c r="O119" t="s">
        <v>72</v>
      </c>
      <c r="P119" s="2">
        <v>571301036</v>
      </c>
      <c r="R119" s="2">
        <v>7500</v>
      </c>
      <c r="S119" s="4">
        <f t="shared" si="2"/>
        <v>8475</v>
      </c>
      <c r="T119" s="4">
        <v>-97</v>
      </c>
      <c r="U119" s="4">
        <f t="shared" si="3"/>
        <v>254.25</v>
      </c>
      <c r="V119" s="5">
        <v>0.664</v>
      </c>
      <c r="W119" s="5">
        <v>0.645</v>
      </c>
      <c r="AU119" s="3" t="s">
        <v>73</v>
      </c>
      <c r="AW119" s="2" t="s">
        <v>93</v>
      </c>
      <c r="AZ119" t="s">
        <v>459</v>
      </c>
      <c r="BB119" s="7" t="str">
        <f>HYPERLINK("https://v360.in/diamondview.aspx?cid=preet&amp;d=HN-141-35","https://v360.in/diamondview.aspx?cid=preet&amp;d=HN-141-35")</f>
        <v>https://v360.in/diamondview.aspx?cid=preet&amp;d=HN-141-35</v>
      </c>
    </row>
    <row r="120" ht="15.75" spans="1:54">
      <c r="A120" s="2" t="s">
        <v>460</v>
      </c>
      <c r="B120" s="3" t="s">
        <v>63</v>
      </c>
      <c r="C120" s="2" t="s">
        <v>321</v>
      </c>
      <c r="D120" s="2">
        <v>1.12</v>
      </c>
      <c r="E120" s="2" t="s">
        <v>65</v>
      </c>
      <c r="F120" s="2" t="s">
        <v>66</v>
      </c>
      <c r="G120" s="2" t="s">
        <v>67</v>
      </c>
      <c r="H120" s="2" t="s">
        <v>68</v>
      </c>
      <c r="I120" s="2" t="s">
        <v>68</v>
      </c>
      <c r="J120" s="2" t="s">
        <v>70</v>
      </c>
      <c r="L120" s="2" t="s">
        <v>461</v>
      </c>
      <c r="O120" t="s">
        <v>72</v>
      </c>
      <c r="P120" s="2">
        <v>564365280</v>
      </c>
      <c r="R120" s="2">
        <v>6900</v>
      </c>
      <c r="S120" s="4">
        <f t="shared" si="2"/>
        <v>7728</v>
      </c>
      <c r="T120" s="4">
        <v>-97</v>
      </c>
      <c r="U120" s="4">
        <f t="shared" si="3"/>
        <v>231.84</v>
      </c>
      <c r="V120" s="5">
        <v>0.631</v>
      </c>
      <c r="W120" s="5">
        <v>0.615</v>
      </c>
      <c r="AU120" s="3" t="s">
        <v>73</v>
      </c>
      <c r="AW120" s="2" t="s">
        <v>93</v>
      </c>
      <c r="AZ120" t="s">
        <v>462</v>
      </c>
      <c r="BB120" s="7" t="str">
        <f>HYPERLINK("https://v360.in/diamondview.aspx?cid=preet&amp;d=HN-134-83","https://v360.in/diamondview.aspx?cid=preet&amp;d=HN-134-83")</f>
        <v>https://v360.in/diamondview.aspx?cid=preet&amp;d=HN-134-83</v>
      </c>
    </row>
    <row r="121" ht="15.75" spans="1:54">
      <c r="A121" s="2" t="s">
        <v>463</v>
      </c>
      <c r="B121" s="3" t="s">
        <v>63</v>
      </c>
      <c r="C121" s="2" t="s">
        <v>321</v>
      </c>
      <c r="D121" s="2">
        <v>1.12</v>
      </c>
      <c r="E121" s="2" t="s">
        <v>63</v>
      </c>
      <c r="F121" s="2" t="s">
        <v>91</v>
      </c>
      <c r="G121" s="2" t="s">
        <v>67</v>
      </c>
      <c r="H121" s="2" t="s">
        <v>68</v>
      </c>
      <c r="I121" s="2" t="s">
        <v>68</v>
      </c>
      <c r="J121" s="2" t="s">
        <v>70</v>
      </c>
      <c r="L121" s="2" t="s">
        <v>464</v>
      </c>
      <c r="O121" t="s">
        <v>72</v>
      </c>
      <c r="P121" s="2">
        <v>569328554</v>
      </c>
      <c r="R121" s="2">
        <v>7000</v>
      </c>
      <c r="S121" s="4">
        <f t="shared" si="2"/>
        <v>7840</v>
      </c>
      <c r="T121" s="4">
        <v>-97</v>
      </c>
      <c r="U121" s="4">
        <f t="shared" si="3"/>
        <v>235.2</v>
      </c>
      <c r="V121" s="5">
        <v>0.636</v>
      </c>
      <c r="W121" s="5">
        <v>0.695</v>
      </c>
      <c r="AU121" s="3" t="s">
        <v>73</v>
      </c>
      <c r="AW121" s="2" t="s">
        <v>93</v>
      </c>
      <c r="AZ121" t="s">
        <v>465</v>
      </c>
      <c r="BB121" s="7" t="str">
        <f>HYPERLINK("https://v360.in/diamondview.aspx?cid=preet&amp;d=HN-137-31","https://v360.in/diamondview.aspx?cid=preet&amp;d=HN-137-31")</f>
        <v>https://v360.in/diamondview.aspx?cid=preet&amp;d=HN-137-31</v>
      </c>
    </row>
    <row r="122" ht="15.75" spans="1:54">
      <c r="A122" s="2" t="s">
        <v>466</v>
      </c>
      <c r="B122" s="3" t="s">
        <v>63</v>
      </c>
      <c r="C122" s="2" t="s">
        <v>321</v>
      </c>
      <c r="D122" s="2">
        <v>1.11</v>
      </c>
      <c r="E122" s="2" t="s">
        <v>65</v>
      </c>
      <c r="F122" s="2" t="s">
        <v>91</v>
      </c>
      <c r="G122" s="2" t="s">
        <v>67</v>
      </c>
      <c r="H122" s="2" t="s">
        <v>68</v>
      </c>
      <c r="I122" s="2" t="s">
        <v>68</v>
      </c>
      <c r="J122" s="2" t="s">
        <v>70</v>
      </c>
      <c r="L122" s="2" t="s">
        <v>467</v>
      </c>
      <c r="O122" t="s">
        <v>72</v>
      </c>
      <c r="P122" s="2">
        <v>570370823</v>
      </c>
      <c r="R122" s="2">
        <v>7500</v>
      </c>
      <c r="S122" s="4">
        <f t="shared" si="2"/>
        <v>8325</v>
      </c>
      <c r="T122" s="4">
        <v>-97</v>
      </c>
      <c r="U122" s="4">
        <f t="shared" si="3"/>
        <v>249.75</v>
      </c>
      <c r="V122" s="5">
        <v>0.635</v>
      </c>
      <c r="W122" s="5">
        <v>0.655</v>
      </c>
      <c r="AU122" s="3" t="s">
        <v>73</v>
      </c>
      <c r="AW122" s="2" t="s">
        <v>93</v>
      </c>
      <c r="AZ122" t="s">
        <v>468</v>
      </c>
      <c r="BB122" s="7" t="str">
        <f>HYPERLINK("https://v360.in/diamondview.aspx?cid=preet&amp;d=HN-147-16","https://v360.in/diamondview.aspx?cid=preet&amp;d=HN-147-16")</f>
        <v>https://v360.in/diamondview.aspx?cid=preet&amp;d=HN-147-16</v>
      </c>
    </row>
    <row r="123" ht="15.75" spans="1:54">
      <c r="A123" s="2" t="s">
        <v>469</v>
      </c>
      <c r="B123" s="3" t="s">
        <v>63</v>
      </c>
      <c r="C123" s="2" t="s">
        <v>321</v>
      </c>
      <c r="D123" s="2">
        <v>1.1</v>
      </c>
      <c r="E123" s="2" t="s">
        <v>63</v>
      </c>
      <c r="F123" s="2" t="s">
        <v>143</v>
      </c>
      <c r="G123" s="2" t="s">
        <v>67</v>
      </c>
      <c r="H123" s="2" t="s">
        <v>68</v>
      </c>
      <c r="I123" s="2" t="s">
        <v>68</v>
      </c>
      <c r="J123" s="2" t="s">
        <v>70</v>
      </c>
      <c r="L123" s="2" t="s">
        <v>470</v>
      </c>
      <c r="O123" t="s">
        <v>72</v>
      </c>
      <c r="P123" s="2">
        <v>566393809</v>
      </c>
      <c r="R123" s="2">
        <v>7300</v>
      </c>
      <c r="S123" s="4">
        <f t="shared" si="2"/>
        <v>8030</v>
      </c>
      <c r="T123" s="4">
        <v>-97</v>
      </c>
      <c r="U123" s="4">
        <f t="shared" si="3"/>
        <v>240.9</v>
      </c>
      <c r="V123" s="5">
        <v>0.649</v>
      </c>
      <c r="W123" s="6">
        <v>0.62</v>
      </c>
      <c r="AU123" s="3" t="s">
        <v>73</v>
      </c>
      <c r="AW123" s="2" t="s">
        <v>93</v>
      </c>
      <c r="AZ123" t="s">
        <v>471</v>
      </c>
      <c r="BB123" s="7" t="str">
        <f>HYPERLINK("https://v360.in/diamondview.aspx?cid=preet&amp;d=HN-135-33","https://v360.in/diamondview.aspx?cid=preet&amp;d=HN-135-33")</f>
        <v>https://v360.in/diamondview.aspx?cid=preet&amp;d=HN-135-33</v>
      </c>
    </row>
    <row r="124" ht="15.75" spans="1:54">
      <c r="A124" s="2" t="s">
        <v>472</v>
      </c>
      <c r="B124" s="3" t="s">
        <v>63</v>
      </c>
      <c r="C124" s="2" t="s">
        <v>321</v>
      </c>
      <c r="D124" s="2">
        <v>1.1</v>
      </c>
      <c r="E124" s="2" t="s">
        <v>63</v>
      </c>
      <c r="F124" s="2" t="s">
        <v>66</v>
      </c>
      <c r="G124" s="2" t="s">
        <v>67</v>
      </c>
      <c r="H124" s="2" t="s">
        <v>68</v>
      </c>
      <c r="I124" s="2" t="s">
        <v>68</v>
      </c>
      <c r="J124" s="2" t="s">
        <v>70</v>
      </c>
      <c r="L124" s="2" t="s">
        <v>473</v>
      </c>
      <c r="O124" t="s">
        <v>72</v>
      </c>
      <c r="P124" s="2">
        <v>566393808</v>
      </c>
      <c r="R124" s="2">
        <v>6600</v>
      </c>
      <c r="S124" s="4">
        <f t="shared" si="2"/>
        <v>7260</v>
      </c>
      <c r="T124" s="4">
        <v>-97</v>
      </c>
      <c r="U124" s="4">
        <f t="shared" si="3"/>
        <v>217.8</v>
      </c>
      <c r="V124" s="5">
        <v>0.674</v>
      </c>
      <c r="W124" s="6">
        <v>0.63</v>
      </c>
      <c r="AU124" s="3" t="s">
        <v>73</v>
      </c>
      <c r="AW124" s="2" t="s">
        <v>93</v>
      </c>
      <c r="AZ124" t="s">
        <v>474</v>
      </c>
      <c r="BB124" s="7" t="str">
        <f>HYPERLINK("https://v360.in/diamondview.aspx?cid=preet&amp;d=HN-135-31","https://v360.in/diamondview.aspx?cid=preet&amp;d=HN-135-31")</f>
        <v>https://v360.in/diamondview.aspx?cid=preet&amp;d=HN-135-31</v>
      </c>
    </row>
    <row r="125" ht="15.75" spans="1:54">
      <c r="A125" s="2" t="s">
        <v>475</v>
      </c>
      <c r="B125" s="3" t="s">
        <v>63</v>
      </c>
      <c r="C125" s="2" t="s">
        <v>321</v>
      </c>
      <c r="D125" s="2">
        <v>1.1</v>
      </c>
      <c r="E125" s="2" t="s">
        <v>63</v>
      </c>
      <c r="F125" s="2" t="s">
        <v>91</v>
      </c>
      <c r="G125" s="2" t="s">
        <v>67</v>
      </c>
      <c r="H125" s="2" t="s">
        <v>68</v>
      </c>
      <c r="I125" s="2" t="s">
        <v>68</v>
      </c>
      <c r="J125" s="2" t="s">
        <v>70</v>
      </c>
      <c r="L125" s="2" t="s">
        <v>476</v>
      </c>
      <c r="O125" t="s">
        <v>72</v>
      </c>
      <c r="P125" s="2">
        <v>528205275</v>
      </c>
      <c r="R125" s="2">
        <v>7000</v>
      </c>
      <c r="S125" s="4">
        <f t="shared" si="2"/>
        <v>7700</v>
      </c>
      <c r="T125" s="4">
        <v>-97</v>
      </c>
      <c r="U125" s="4">
        <f t="shared" si="3"/>
        <v>231</v>
      </c>
      <c r="V125" s="5">
        <v>0.665</v>
      </c>
      <c r="W125" s="6">
        <v>0.64</v>
      </c>
      <c r="AU125" s="3" t="s">
        <v>73</v>
      </c>
      <c r="AW125" s="2" t="s">
        <v>74</v>
      </c>
      <c r="AZ125" t="s">
        <v>477</v>
      </c>
      <c r="BB125" s="7" t="str">
        <f>HYPERLINK("https://view.gem360.in/gem360/2005220524-HN40-52/gem360-2005220524-HN40-52.html","https://view.gem360.in/gem360/2005220524-HN40-52/gem360-2005220524-HN40-52.html")</f>
        <v>https://view.gem360.in/gem360/2005220524-HN40-52/gem360-2005220524-HN40-52.html</v>
      </c>
    </row>
    <row r="126" ht="15.75" spans="1:54">
      <c r="A126" s="2" t="s">
        <v>478</v>
      </c>
      <c r="B126" s="3" t="s">
        <v>63</v>
      </c>
      <c r="C126" s="2" t="s">
        <v>321</v>
      </c>
      <c r="D126" s="2">
        <v>1.1</v>
      </c>
      <c r="E126" s="2" t="s">
        <v>63</v>
      </c>
      <c r="F126" s="2" t="s">
        <v>91</v>
      </c>
      <c r="G126" s="2" t="s">
        <v>67</v>
      </c>
      <c r="H126" s="2" t="s">
        <v>68</v>
      </c>
      <c r="I126" s="2" t="s">
        <v>68</v>
      </c>
      <c r="J126" s="2" t="s">
        <v>70</v>
      </c>
      <c r="L126" s="2" t="s">
        <v>479</v>
      </c>
      <c r="O126" t="s">
        <v>72</v>
      </c>
      <c r="P126" s="2">
        <v>570370808</v>
      </c>
      <c r="R126" s="2">
        <v>7000</v>
      </c>
      <c r="S126" s="4">
        <f t="shared" si="2"/>
        <v>7700</v>
      </c>
      <c r="T126" s="4">
        <v>-97</v>
      </c>
      <c r="U126" s="4">
        <f t="shared" si="3"/>
        <v>231</v>
      </c>
      <c r="V126" s="5">
        <v>0.631</v>
      </c>
      <c r="W126" s="6">
        <v>0.64</v>
      </c>
      <c r="AU126" s="3" t="s">
        <v>73</v>
      </c>
      <c r="AW126" s="2" t="s">
        <v>93</v>
      </c>
      <c r="AZ126" t="s">
        <v>480</v>
      </c>
      <c r="BB126" s="7" t="str">
        <f>HYPERLINK("https://v360.in/diamondview.aspx?cid=preet&amp;d=HN-149-13","https://v360.in/diamondview.aspx?cid=preet&amp;d=HN-149-13")</f>
        <v>https://v360.in/diamondview.aspx?cid=preet&amp;d=HN-149-13</v>
      </c>
    </row>
    <row r="127" ht="15.75" spans="1:54">
      <c r="A127" s="2" t="s">
        <v>481</v>
      </c>
      <c r="B127" s="3" t="s">
        <v>63</v>
      </c>
      <c r="C127" s="2" t="s">
        <v>321</v>
      </c>
      <c r="D127" s="2">
        <v>1.1</v>
      </c>
      <c r="E127" s="2" t="s">
        <v>63</v>
      </c>
      <c r="F127" s="2" t="s">
        <v>91</v>
      </c>
      <c r="G127" s="2" t="s">
        <v>67</v>
      </c>
      <c r="H127" s="2" t="s">
        <v>68</v>
      </c>
      <c r="I127" s="2" t="s">
        <v>68</v>
      </c>
      <c r="J127" s="2" t="s">
        <v>70</v>
      </c>
      <c r="L127" s="2" t="s">
        <v>482</v>
      </c>
      <c r="O127" t="s">
        <v>72</v>
      </c>
      <c r="P127" s="2">
        <v>571301034</v>
      </c>
      <c r="R127" s="2">
        <v>7000</v>
      </c>
      <c r="S127" s="4">
        <f t="shared" si="2"/>
        <v>7700</v>
      </c>
      <c r="T127" s="4">
        <v>-97</v>
      </c>
      <c r="U127" s="4">
        <f t="shared" si="3"/>
        <v>231</v>
      </c>
      <c r="V127" s="5">
        <v>0.629</v>
      </c>
      <c r="W127" s="5">
        <v>0.675</v>
      </c>
      <c r="AU127" s="3" t="s">
        <v>73</v>
      </c>
      <c r="AW127" s="2" t="s">
        <v>93</v>
      </c>
      <c r="AZ127" t="s">
        <v>483</v>
      </c>
      <c r="BB127" s="7" t="str">
        <f>HYPERLINK("https://v360.in/diamondview.aspx?cid=preet&amp;d=HN-141-33","https://v360.in/diamondview.aspx?cid=preet&amp;d=HN-141-33")</f>
        <v>https://v360.in/diamondview.aspx?cid=preet&amp;d=HN-141-33</v>
      </c>
    </row>
    <row r="128" ht="15.75" spans="1:54">
      <c r="A128" s="2" t="s">
        <v>484</v>
      </c>
      <c r="B128" s="3" t="s">
        <v>63</v>
      </c>
      <c r="C128" s="2" t="s">
        <v>321</v>
      </c>
      <c r="D128" s="2">
        <v>1.09</v>
      </c>
      <c r="E128" s="2" t="s">
        <v>65</v>
      </c>
      <c r="F128" s="2" t="s">
        <v>91</v>
      </c>
      <c r="G128" s="2" t="s">
        <v>67</v>
      </c>
      <c r="H128" s="2" t="s">
        <v>68</v>
      </c>
      <c r="I128" s="2" t="s">
        <v>68</v>
      </c>
      <c r="J128" s="2" t="s">
        <v>70</v>
      </c>
      <c r="L128" s="2" t="s">
        <v>485</v>
      </c>
      <c r="O128" t="s">
        <v>72</v>
      </c>
      <c r="P128" s="2">
        <v>570370827</v>
      </c>
      <c r="R128" s="2">
        <v>7500</v>
      </c>
      <c r="S128" s="4">
        <f t="shared" si="2"/>
        <v>8175</v>
      </c>
      <c r="T128" s="4">
        <v>-97</v>
      </c>
      <c r="U128" s="4">
        <f t="shared" si="3"/>
        <v>245.25</v>
      </c>
      <c r="V128" s="5">
        <v>0.637</v>
      </c>
      <c r="W128" s="5">
        <v>0.655</v>
      </c>
      <c r="AU128" s="3" t="s">
        <v>73</v>
      </c>
      <c r="AW128" s="2" t="s">
        <v>93</v>
      </c>
      <c r="AZ128" t="s">
        <v>486</v>
      </c>
      <c r="BB128" s="7" t="str">
        <f>HYPERLINK("https://v360.in/diamondview.aspx?cid=preet&amp;d=HN-147-26","https://v360.in/diamondview.aspx?cid=preet&amp;d=HN-147-26")</f>
        <v>https://v360.in/diamondview.aspx?cid=preet&amp;d=HN-147-26</v>
      </c>
    </row>
    <row r="129" ht="15.75" spans="1:54">
      <c r="A129" s="2" t="s">
        <v>487</v>
      </c>
      <c r="B129" s="3" t="s">
        <v>63</v>
      </c>
      <c r="C129" s="2" t="s">
        <v>321</v>
      </c>
      <c r="D129" s="2">
        <v>1.09</v>
      </c>
      <c r="E129" s="2" t="s">
        <v>63</v>
      </c>
      <c r="F129" s="2" t="s">
        <v>91</v>
      </c>
      <c r="G129" s="2" t="s">
        <v>67</v>
      </c>
      <c r="H129" s="2" t="s">
        <v>68</v>
      </c>
      <c r="I129" s="2" t="s">
        <v>68</v>
      </c>
      <c r="J129" s="2" t="s">
        <v>70</v>
      </c>
      <c r="L129" s="2" t="s">
        <v>488</v>
      </c>
      <c r="O129" t="s">
        <v>72</v>
      </c>
      <c r="P129" s="2">
        <v>571301027</v>
      </c>
      <c r="R129" s="2">
        <v>7000</v>
      </c>
      <c r="S129" s="4">
        <f t="shared" si="2"/>
        <v>7630</v>
      </c>
      <c r="T129" s="4">
        <v>-97</v>
      </c>
      <c r="U129" s="4">
        <f t="shared" si="3"/>
        <v>228.9</v>
      </c>
      <c r="V129" s="5">
        <v>0.674</v>
      </c>
      <c r="W129" s="6">
        <v>0.66</v>
      </c>
      <c r="AU129" s="3" t="s">
        <v>73</v>
      </c>
      <c r="AW129" s="2" t="s">
        <v>93</v>
      </c>
      <c r="AZ129" t="s">
        <v>489</v>
      </c>
      <c r="BB129" s="7" t="str">
        <f>HYPERLINK("https://v360.in/diamondview.aspx?cid=preet&amp;d=HN-141-32","https://v360.in/diamondview.aspx?cid=preet&amp;d=HN-141-32")</f>
        <v>https://v360.in/diamondview.aspx?cid=preet&amp;d=HN-141-32</v>
      </c>
    </row>
    <row r="130" ht="15.75" spans="1:54">
      <c r="A130" s="2" t="s">
        <v>490</v>
      </c>
      <c r="B130" s="3" t="s">
        <v>63</v>
      </c>
      <c r="C130" s="2" t="s">
        <v>321</v>
      </c>
      <c r="D130" s="2">
        <v>1.09</v>
      </c>
      <c r="E130" s="2" t="s">
        <v>81</v>
      </c>
      <c r="F130" s="2" t="s">
        <v>91</v>
      </c>
      <c r="G130" s="2" t="s">
        <v>67</v>
      </c>
      <c r="H130" s="2" t="s">
        <v>68</v>
      </c>
      <c r="I130" s="2" t="s">
        <v>68</v>
      </c>
      <c r="J130" s="2" t="s">
        <v>70</v>
      </c>
      <c r="L130" s="2" t="s">
        <v>491</v>
      </c>
      <c r="O130" t="s">
        <v>72</v>
      </c>
      <c r="P130" s="2">
        <v>571307674</v>
      </c>
      <c r="R130" s="2">
        <v>6000</v>
      </c>
      <c r="S130" s="4">
        <f t="shared" si="2"/>
        <v>6540</v>
      </c>
      <c r="T130" s="4">
        <v>-97</v>
      </c>
      <c r="U130" s="4">
        <f t="shared" si="3"/>
        <v>196.2</v>
      </c>
      <c r="V130" s="6">
        <v>0.64</v>
      </c>
      <c r="W130" s="5">
        <v>0.655</v>
      </c>
      <c r="AU130" s="3" t="s">
        <v>73</v>
      </c>
      <c r="AW130" s="2" t="s">
        <v>93</v>
      </c>
      <c r="AZ130" t="s">
        <v>492</v>
      </c>
      <c r="BB130" s="7" t="s">
        <v>493</v>
      </c>
    </row>
    <row r="131" ht="15.75" spans="1:54">
      <c r="A131" s="2" t="s">
        <v>494</v>
      </c>
      <c r="B131" s="3" t="s">
        <v>63</v>
      </c>
      <c r="C131" s="2" t="s">
        <v>321</v>
      </c>
      <c r="D131" s="2">
        <v>1.07</v>
      </c>
      <c r="E131" s="2" t="s">
        <v>63</v>
      </c>
      <c r="F131" s="2" t="s">
        <v>91</v>
      </c>
      <c r="G131" s="2" t="s">
        <v>67</v>
      </c>
      <c r="H131" s="2" t="s">
        <v>69</v>
      </c>
      <c r="I131" s="2" t="s">
        <v>68</v>
      </c>
      <c r="J131" s="2" t="s">
        <v>70</v>
      </c>
      <c r="L131" s="2" t="s">
        <v>495</v>
      </c>
      <c r="O131" t="s">
        <v>72</v>
      </c>
      <c r="P131" s="2">
        <v>524211510</v>
      </c>
      <c r="R131" s="2">
        <v>7000</v>
      </c>
      <c r="S131" s="4">
        <f t="shared" ref="S131:S194" si="4">R131*D131</f>
        <v>7490</v>
      </c>
      <c r="T131" s="4">
        <v>-97</v>
      </c>
      <c r="U131" s="4">
        <f t="shared" ref="U131:U194" si="5">(R131+(R131*T131)/100)*D131</f>
        <v>224.7</v>
      </c>
      <c r="V131" s="5">
        <v>0.681</v>
      </c>
      <c r="W131" s="5">
        <v>0.695</v>
      </c>
      <c r="AU131" s="3" t="s">
        <v>73</v>
      </c>
      <c r="AW131" s="2" t="s">
        <v>74</v>
      </c>
      <c r="AZ131" t="s">
        <v>496</v>
      </c>
      <c r="BB131" s="7" t="str">
        <f>HYPERLINK("https://view.gem360.in/gem360/3004220455-HN43-95/gem360-3004220455-HN43-95.html","https://view.gem360.in/gem360/3004220455-HN43-95/gem360-3004220455-HN43-95.html")</f>
        <v>https://view.gem360.in/gem360/3004220455-HN43-95/gem360-3004220455-HN43-95.html</v>
      </c>
    </row>
    <row r="132" ht="15.75" spans="1:54">
      <c r="A132" s="2" t="s">
        <v>497</v>
      </c>
      <c r="B132" s="3" t="s">
        <v>63</v>
      </c>
      <c r="C132" s="2" t="s">
        <v>321</v>
      </c>
      <c r="D132" s="2">
        <v>1.06</v>
      </c>
      <c r="E132" s="2" t="s">
        <v>65</v>
      </c>
      <c r="F132" s="2" t="s">
        <v>91</v>
      </c>
      <c r="G132" s="2" t="s">
        <v>67</v>
      </c>
      <c r="H132" s="2" t="s">
        <v>68</v>
      </c>
      <c r="I132" s="2" t="s">
        <v>69</v>
      </c>
      <c r="J132" s="2" t="s">
        <v>70</v>
      </c>
      <c r="L132" s="2" t="s">
        <v>498</v>
      </c>
      <c r="O132" t="s">
        <v>72</v>
      </c>
      <c r="P132" s="2">
        <v>566393806</v>
      </c>
      <c r="R132" s="2">
        <v>7500</v>
      </c>
      <c r="S132" s="4">
        <f t="shared" si="4"/>
        <v>7950</v>
      </c>
      <c r="T132" s="4">
        <v>-97</v>
      </c>
      <c r="U132" s="4">
        <f t="shared" si="5"/>
        <v>238.5</v>
      </c>
      <c r="V132" s="5">
        <v>0.683</v>
      </c>
      <c r="W132" s="6">
        <v>0.66</v>
      </c>
      <c r="AU132" s="3" t="s">
        <v>73</v>
      </c>
      <c r="AW132" s="2" t="s">
        <v>93</v>
      </c>
      <c r="AZ132" t="s">
        <v>499</v>
      </c>
      <c r="BB132" s="7" t="str">
        <f>HYPERLINK("https://v360.in/diamondview.aspx?cid=preet&amp;d=HN-135-28","https://v360.in/diamondview.aspx?cid=preet&amp;d=HN-135-28")</f>
        <v>https://v360.in/diamondview.aspx?cid=preet&amp;d=HN-135-28</v>
      </c>
    </row>
    <row r="133" ht="15.75" spans="1:54">
      <c r="A133" s="2" t="s">
        <v>500</v>
      </c>
      <c r="B133" s="3" t="s">
        <v>63</v>
      </c>
      <c r="C133" s="2" t="s">
        <v>321</v>
      </c>
      <c r="D133" s="2">
        <v>1.06</v>
      </c>
      <c r="E133" s="2" t="s">
        <v>65</v>
      </c>
      <c r="F133" s="2" t="s">
        <v>155</v>
      </c>
      <c r="G133" s="2" t="s">
        <v>67</v>
      </c>
      <c r="H133" s="2" t="s">
        <v>68</v>
      </c>
      <c r="I133" s="2" t="s">
        <v>68</v>
      </c>
      <c r="J133" s="2" t="s">
        <v>70</v>
      </c>
      <c r="L133" s="2" t="s">
        <v>501</v>
      </c>
      <c r="O133" t="s">
        <v>72</v>
      </c>
      <c r="P133" s="2">
        <v>564365281</v>
      </c>
      <c r="R133" s="2">
        <v>5700</v>
      </c>
      <c r="S133" s="4">
        <f t="shared" si="4"/>
        <v>6042</v>
      </c>
      <c r="T133" s="4">
        <v>-97</v>
      </c>
      <c r="U133" s="4">
        <f t="shared" si="5"/>
        <v>181.26</v>
      </c>
      <c r="V133" s="5">
        <v>0.627</v>
      </c>
      <c r="W133" s="5">
        <v>0.645</v>
      </c>
      <c r="AU133" s="3" t="s">
        <v>73</v>
      </c>
      <c r="AW133" s="2" t="s">
        <v>93</v>
      </c>
      <c r="AZ133" t="s">
        <v>502</v>
      </c>
      <c r="BB133" s="7" t="str">
        <f>HYPERLINK("https://v360.in/diamondview.aspx?cid=preet&amp;d=HN-134-82","https://v360.in/diamondview.aspx?cid=preet&amp;d=HN-134-82")</f>
        <v>https://v360.in/diamondview.aspx?cid=preet&amp;d=HN-134-82</v>
      </c>
    </row>
    <row r="134" ht="15.75" spans="1:54">
      <c r="A134" s="2" t="s">
        <v>503</v>
      </c>
      <c r="B134" s="3" t="s">
        <v>63</v>
      </c>
      <c r="C134" s="2" t="s">
        <v>321</v>
      </c>
      <c r="D134" s="2">
        <v>1.05</v>
      </c>
      <c r="E134" s="2" t="s">
        <v>65</v>
      </c>
      <c r="F134" s="2" t="s">
        <v>143</v>
      </c>
      <c r="G134" s="2" t="s">
        <v>67</v>
      </c>
      <c r="H134" s="2" t="s">
        <v>68</v>
      </c>
      <c r="I134" s="2" t="s">
        <v>68</v>
      </c>
      <c r="J134" s="2" t="s">
        <v>70</v>
      </c>
      <c r="L134" s="2" t="s">
        <v>504</v>
      </c>
      <c r="O134" t="s">
        <v>72</v>
      </c>
      <c r="P134" s="2">
        <v>569328555</v>
      </c>
      <c r="R134" s="2">
        <v>8000</v>
      </c>
      <c r="S134" s="4">
        <f t="shared" si="4"/>
        <v>8400</v>
      </c>
      <c r="T134" s="4">
        <v>-97</v>
      </c>
      <c r="U134" s="4">
        <f t="shared" si="5"/>
        <v>252</v>
      </c>
      <c r="V134" s="5">
        <v>0.635</v>
      </c>
      <c r="W134" s="5">
        <v>0.625</v>
      </c>
      <c r="AU134" s="3" t="s">
        <v>73</v>
      </c>
      <c r="AW134" s="2" t="s">
        <v>93</v>
      </c>
      <c r="AZ134" t="s">
        <v>505</v>
      </c>
      <c r="BB134" s="7" t="str">
        <f>HYPERLINK("https://v360.in/diamondview.aspx?cid=preet&amp;d=HN-137-32","https://v360.in/diamondview.aspx?cid=preet&amp;d=HN-137-32")</f>
        <v>https://v360.in/diamondview.aspx?cid=preet&amp;d=HN-137-32</v>
      </c>
    </row>
    <row r="135" ht="15.75" spans="1:54">
      <c r="A135" s="2" t="s">
        <v>506</v>
      </c>
      <c r="B135" s="3" t="s">
        <v>63</v>
      </c>
      <c r="C135" s="2" t="s">
        <v>321</v>
      </c>
      <c r="D135" s="2">
        <v>1.05</v>
      </c>
      <c r="E135" s="2" t="s">
        <v>65</v>
      </c>
      <c r="F135" s="2" t="s">
        <v>66</v>
      </c>
      <c r="G135" s="2" t="s">
        <v>67</v>
      </c>
      <c r="H135" s="2" t="s">
        <v>68</v>
      </c>
      <c r="I135" s="2" t="s">
        <v>68</v>
      </c>
      <c r="J135" s="2" t="s">
        <v>70</v>
      </c>
      <c r="L135" s="2" t="s">
        <v>507</v>
      </c>
      <c r="O135" t="s">
        <v>72</v>
      </c>
      <c r="P135" s="2">
        <v>570376218</v>
      </c>
      <c r="R135" s="2">
        <v>6900</v>
      </c>
      <c r="S135" s="4">
        <f t="shared" si="4"/>
        <v>7245</v>
      </c>
      <c r="T135" s="4">
        <v>-97</v>
      </c>
      <c r="U135" s="4">
        <f t="shared" si="5"/>
        <v>217.35</v>
      </c>
      <c r="V135" s="5">
        <v>0.704</v>
      </c>
      <c r="W135" s="6">
        <v>0.58</v>
      </c>
      <c r="AU135" s="3" t="s">
        <v>73</v>
      </c>
      <c r="AW135" s="2" t="s">
        <v>93</v>
      </c>
      <c r="AZ135" t="s">
        <v>508</v>
      </c>
      <c r="BB135" s="7" t="str">
        <f>HYPERLINK("https://v360.in/diamondview.aspx?cid=preet&amp;d=HN-142-44","https://v360.in/diamondview.aspx?cid=preet&amp;d=HN-142-44")</f>
        <v>https://v360.in/diamondview.aspx?cid=preet&amp;d=HN-142-44</v>
      </c>
    </row>
    <row r="136" ht="15.75" spans="1:54">
      <c r="A136" s="2" t="s">
        <v>509</v>
      </c>
      <c r="B136" s="3" t="s">
        <v>63</v>
      </c>
      <c r="C136" s="2" t="s">
        <v>321</v>
      </c>
      <c r="D136" s="2">
        <v>1.04</v>
      </c>
      <c r="E136" s="2" t="s">
        <v>65</v>
      </c>
      <c r="F136" s="2" t="s">
        <v>66</v>
      </c>
      <c r="G136" s="2" t="s">
        <v>67</v>
      </c>
      <c r="H136" s="2" t="s">
        <v>68</v>
      </c>
      <c r="I136" s="2" t="s">
        <v>68</v>
      </c>
      <c r="J136" s="2" t="s">
        <v>70</v>
      </c>
      <c r="L136" s="2" t="s">
        <v>510</v>
      </c>
      <c r="O136" t="s">
        <v>72</v>
      </c>
      <c r="P136" s="2">
        <v>569328553</v>
      </c>
      <c r="R136" s="2">
        <v>6900</v>
      </c>
      <c r="S136" s="4">
        <f t="shared" si="4"/>
        <v>7176</v>
      </c>
      <c r="T136" s="4">
        <v>-97</v>
      </c>
      <c r="U136" s="4">
        <f t="shared" si="5"/>
        <v>215.28</v>
      </c>
      <c r="V136" s="5">
        <v>0.684</v>
      </c>
      <c r="W136" s="6">
        <v>0.7</v>
      </c>
      <c r="AU136" s="3" t="s">
        <v>73</v>
      </c>
      <c r="AW136" s="2" t="s">
        <v>93</v>
      </c>
      <c r="AZ136" t="s">
        <v>511</v>
      </c>
      <c r="BB136" s="7" t="str">
        <f>HYPERLINK("https://v360.in/diamondview.aspx?cid=preet&amp;d=HN-137-30","https://v360.in/diamondview.aspx?cid=preet&amp;d=HN-137-30")</f>
        <v>https://v360.in/diamondview.aspx?cid=preet&amp;d=HN-137-30</v>
      </c>
    </row>
    <row r="137" ht="15.75" spans="1:54">
      <c r="A137" s="2" t="s">
        <v>512</v>
      </c>
      <c r="B137" s="3" t="s">
        <v>63</v>
      </c>
      <c r="C137" s="2" t="s">
        <v>321</v>
      </c>
      <c r="D137" s="2">
        <v>1.04</v>
      </c>
      <c r="E137" s="2" t="s">
        <v>63</v>
      </c>
      <c r="F137" s="2" t="s">
        <v>143</v>
      </c>
      <c r="G137" s="2" t="s">
        <v>67</v>
      </c>
      <c r="H137" s="2" t="s">
        <v>68</v>
      </c>
      <c r="I137" s="2" t="s">
        <v>69</v>
      </c>
      <c r="J137" s="2" t="s">
        <v>70</v>
      </c>
      <c r="L137" s="2" t="s">
        <v>513</v>
      </c>
      <c r="O137" t="s">
        <v>72</v>
      </c>
      <c r="P137" s="2">
        <v>570370829</v>
      </c>
      <c r="R137" s="2">
        <v>7300</v>
      </c>
      <c r="S137" s="4">
        <f t="shared" si="4"/>
        <v>7592</v>
      </c>
      <c r="T137" s="4">
        <v>-97</v>
      </c>
      <c r="U137" s="4">
        <f t="shared" si="5"/>
        <v>227.76</v>
      </c>
      <c r="V137" s="5">
        <v>0.661</v>
      </c>
      <c r="W137" s="6">
        <v>0.7</v>
      </c>
      <c r="AU137" s="3" t="s">
        <v>73</v>
      </c>
      <c r="AW137" s="2" t="s">
        <v>93</v>
      </c>
      <c r="AZ137" t="s">
        <v>514</v>
      </c>
      <c r="BB137" s="7" t="str">
        <f>HYPERLINK("https://v360.in/diamondview.aspx?cid=preet&amp;d=HN-147-25","https://v360.in/diamondview.aspx?cid=preet&amp;d=HN-147-25")</f>
        <v>https://v360.in/diamondview.aspx?cid=preet&amp;d=HN-147-25</v>
      </c>
    </row>
    <row r="138" ht="15.75" spans="1:54">
      <c r="A138" s="2" t="s">
        <v>515</v>
      </c>
      <c r="B138" s="3" t="s">
        <v>63</v>
      </c>
      <c r="C138" s="2" t="s">
        <v>321</v>
      </c>
      <c r="D138" s="2">
        <v>1.04</v>
      </c>
      <c r="E138" s="2" t="s">
        <v>81</v>
      </c>
      <c r="F138" s="2" t="s">
        <v>66</v>
      </c>
      <c r="G138" s="2" t="s">
        <v>67</v>
      </c>
      <c r="H138" s="2" t="s">
        <v>68</v>
      </c>
      <c r="I138" s="2" t="s">
        <v>68</v>
      </c>
      <c r="J138" s="2" t="s">
        <v>70</v>
      </c>
      <c r="L138" s="2" t="s">
        <v>516</v>
      </c>
      <c r="O138" t="s">
        <v>72</v>
      </c>
      <c r="P138" s="2">
        <v>553217221</v>
      </c>
      <c r="R138" s="2">
        <v>5700</v>
      </c>
      <c r="S138" s="4">
        <f t="shared" si="4"/>
        <v>5928</v>
      </c>
      <c r="T138" s="4">
        <v>-97</v>
      </c>
      <c r="U138" s="4">
        <f t="shared" si="5"/>
        <v>177.84</v>
      </c>
      <c r="V138" s="5">
        <v>0.682</v>
      </c>
      <c r="W138" s="6">
        <v>0.68</v>
      </c>
      <c r="AU138" s="3" t="s">
        <v>73</v>
      </c>
      <c r="AW138" s="2" t="s">
        <v>74</v>
      </c>
      <c r="AZ138" t="s">
        <v>517</v>
      </c>
      <c r="BB138" s="7" t="str">
        <f>HYPERLINK("https://v360.in/diamondview.aspx?cid=preet&amp;d=HN-127-38-A","https://v360.in/diamondview.aspx?cid=preet&amp;d=HN-127-38-A")</f>
        <v>https://v360.in/diamondview.aspx?cid=preet&amp;d=HN-127-38-A</v>
      </c>
    </row>
    <row r="139" ht="15.75" spans="1:54">
      <c r="A139" s="2" t="s">
        <v>518</v>
      </c>
      <c r="B139" s="3" t="s">
        <v>63</v>
      </c>
      <c r="C139" s="2" t="s">
        <v>321</v>
      </c>
      <c r="D139" s="2">
        <v>1.03</v>
      </c>
      <c r="E139" s="2" t="s">
        <v>65</v>
      </c>
      <c r="F139" s="2" t="s">
        <v>66</v>
      </c>
      <c r="G139" s="2" t="s">
        <v>67</v>
      </c>
      <c r="H139" s="2" t="s">
        <v>68</v>
      </c>
      <c r="I139" s="2" t="s">
        <v>68</v>
      </c>
      <c r="J139" s="2" t="s">
        <v>70</v>
      </c>
      <c r="L139" s="2" t="s">
        <v>519</v>
      </c>
      <c r="O139" t="s">
        <v>72</v>
      </c>
      <c r="P139" s="2">
        <v>564365282</v>
      </c>
      <c r="R139" s="2">
        <v>6900</v>
      </c>
      <c r="S139" s="4">
        <f t="shared" si="4"/>
        <v>7107</v>
      </c>
      <c r="T139" s="4">
        <v>-97</v>
      </c>
      <c r="U139" s="4">
        <f t="shared" si="5"/>
        <v>213.21</v>
      </c>
      <c r="V139" s="5">
        <v>0.686</v>
      </c>
      <c r="W139" s="5">
        <v>0.625</v>
      </c>
      <c r="AU139" s="3" t="s">
        <v>73</v>
      </c>
      <c r="AW139" s="2" t="s">
        <v>93</v>
      </c>
      <c r="AZ139" t="s">
        <v>520</v>
      </c>
      <c r="BB139" s="7" t="str">
        <f>HYPERLINK("https://v360.in/diamondview.aspx?cid=preet&amp;d=HN-134-81","https://v360.in/diamondview.aspx?cid=preet&amp;d=HN-134-81")</f>
        <v>https://v360.in/diamondview.aspx?cid=preet&amp;d=HN-134-81</v>
      </c>
    </row>
    <row r="140" ht="15.75" spans="1:54">
      <c r="A140" s="2" t="s">
        <v>521</v>
      </c>
      <c r="B140" s="3" t="s">
        <v>63</v>
      </c>
      <c r="C140" s="2" t="s">
        <v>321</v>
      </c>
      <c r="D140" s="2">
        <v>1.03</v>
      </c>
      <c r="E140" s="2" t="s">
        <v>63</v>
      </c>
      <c r="F140" s="2" t="s">
        <v>66</v>
      </c>
      <c r="G140" s="2" t="s">
        <v>67</v>
      </c>
      <c r="H140" s="2" t="s">
        <v>68</v>
      </c>
      <c r="I140" s="2" t="s">
        <v>68</v>
      </c>
      <c r="J140" s="2" t="s">
        <v>70</v>
      </c>
      <c r="L140" s="2" t="s">
        <v>522</v>
      </c>
      <c r="O140" t="s">
        <v>72</v>
      </c>
      <c r="P140" s="2">
        <v>571301035</v>
      </c>
      <c r="R140" s="2">
        <v>6600</v>
      </c>
      <c r="S140" s="4">
        <f t="shared" si="4"/>
        <v>6798</v>
      </c>
      <c r="T140" s="4">
        <v>-97</v>
      </c>
      <c r="U140" s="4">
        <f t="shared" si="5"/>
        <v>203.94</v>
      </c>
      <c r="V140" s="5">
        <v>0.689</v>
      </c>
      <c r="W140" s="5">
        <v>0.695</v>
      </c>
      <c r="AU140" s="3" t="s">
        <v>73</v>
      </c>
      <c r="AW140" s="2" t="s">
        <v>93</v>
      </c>
      <c r="AZ140" t="s">
        <v>523</v>
      </c>
      <c r="BB140" s="7" t="str">
        <f>HYPERLINK("https://v360.in/diamondview.aspx?cid=preet&amp;d=HN-141-34","https://v360.in/diamondview.aspx?cid=preet&amp;d=HN-141-34")</f>
        <v>https://v360.in/diamondview.aspx?cid=preet&amp;d=HN-141-34</v>
      </c>
    </row>
    <row r="141" ht="15.75" spans="1:54">
      <c r="A141" s="2" t="s">
        <v>524</v>
      </c>
      <c r="B141" s="3" t="s">
        <v>63</v>
      </c>
      <c r="C141" s="2" t="s">
        <v>321</v>
      </c>
      <c r="D141" s="2">
        <v>1.03</v>
      </c>
      <c r="E141" s="2" t="s">
        <v>81</v>
      </c>
      <c r="F141" s="2" t="s">
        <v>143</v>
      </c>
      <c r="G141" s="2" t="s">
        <v>67</v>
      </c>
      <c r="H141" s="2" t="s">
        <v>68</v>
      </c>
      <c r="I141" s="2" t="s">
        <v>68</v>
      </c>
      <c r="J141" s="2" t="s">
        <v>70</v>
      </c>
      <c r="L141" s="2" t="s">
        <v>525</v>
      </c>
      <c r="O141" t="s">
        <v>72</v>
      </c>
      <c r="P141" s="2">
        <v>567356385</v>
      </c>
      <c r="R141" s="2">
        <v>6300</v>
      </c>
      <c r="S141" s="4">
        <f t="shared" si="4"/>
        <v>6489</v>
      </c>
      <c r="T141" s="4">
        <v>-97</v>
      </c>
      <c r="U141" s="4">
        <f t="shared" si="5"/>
        <v>194.67</v>
      </c>
      <c r="V141" s="5">
        <v>0.661</v>
      </c>
      <c r="W141" s="5">
        <v>0.665</v>
      </c>
      <c r="AU141" s="3" t="s">
        <v>73</v>
      </c>
      <c r="AW141" s="2" t="s">
        <v>93</v>
      </c>
      <c r="AZ141" t="s">
        <v>526</v>
      </c>
      <c r="BB141" s="7" t="str">
        <f>HYPERLINK("https://v360.in/diamondview.aspx?cid=preet&amp;d=HN-136-51","https://v360.in/diamondview.aspx?cid=preet&amp;d=HN-136-51")</f>
        <v>https://v360.in/diamondview.aspx?cid=preet&amp;d=HN-136-51</v>
      </c>
    </row>
    <row r="142" ht="15.75" spans="1:54">
      <c r="A142" s="2" t="s">
        <v>527</v>
      </c>
      <c r="B142" s="3" t="s">
        <v>63</v>
      </c>
      <c r="C142" s="2" t="s">
        <v>321</v>
      </c>
      <c r="D142" s="2">
        <v>1.02</v>
      </c>
      <c r="E142" s="2" t="s">
        <v>65</v>
      </c>
      <c r="F142" s="2" t="s">
        <v>66</v>
      </c>
      <c r="G142" s="2" t="s">
        <v>67</v>
      </c>
      <c r="H142" s="2" t="s">
        <v>68</v>
      </c>
      <c r="I142" s="2" t="s">
        <v>68</v>
      </c>
      <c r="J142" s="2" t="s">
        <v>70</v>
      </c>
      <c r="L142" s="2" t="s">
        <v>528</v>
      </c>
      <c r="O142" t="s">
        <v>72</v>
      </c>
      <c r="P142" s="2">
        <v>553259909</v>
      </c>
      <c r="R142" s="2">
        <v>6900</v>
      </c>
      <c r="S142" s="4">
        <f t="shared" si="4"/>
        <v>7038</v>
      </c>
      <c r="T142" s="4">
        <v>-97</v>
      </c>
      <c r="U142" s="4">
        <f t="shared" si="5"/>
        <v>211.14</v>
      </c>
      <c r="V142" s="5">
        <v>0.674</v>
      </c>
      <c r="W142" s="6">
        <v>0.68</v>
      </c>
      <c r="AU142" s="3" t="s">
        <v>73</v>
      </c>
      <c r="AW142" s="2" t="s">
        <v>74</v>
      </c>
      <c r="AZ142" t="s">
        <v>529</v>
      </c>
      <c r="BB142" s="7" t="str">
        <f>HYPERLINK("https://v360.in/diamondview.aspx?cid=preet&amp;d=HN-127-36-B","https://v360.in/diamondview.aspx?cid=preet&amp;d=HN-127-36-B")</f>
        <v>https://v360.in/diamondview.aspx?cid=preet&amp;d=HN-127-36-B</v>
      </c>
    </row>
    <row r="143" ht="15.75" spans="1:54">
      <c r="A143" s="2" t="s">
        <v>530</v>
      </c>
      <c r="B143" s="3" t="s">
        <v>63</v>
      </c>
      <c r="C143" s="2" t="s">
        <v>321</v>
      </c>
      <c r="D143" s="2">
        <v>1.02</v>
      </c>
      <c r="E143" s="2" t="s">
        <v>63</v>
      </c>
      <c r="F143" s="2" t="s">
        <v>66</v>
      </c>
      <c r="G143" s="2" t="s">
        <v>67</v>
      </c>
      <c r="H143" s="2" t="s">
        <v>68</v>
      </c>
      <c r="I143" s="2" t="s">
        <v>68</v>
      </c>
      <c r="J143" s="2" t="s">
        <v>70</v>
      </c>
      <c r="L143" s="2" t="s">
        <v>531</v>
      </c>
      <c r="O143" t="s">
        <v>72</v>
      </c>
      <c r="P143" s="2">
        <v>567356444</v>
      </c>
      <c r="R143" s="2">
        <v>6600</v>
      </c>
      <c r="S143" s="4">
        <f t="shared" si="4"/>
        <v>6732</v>
      </c>
      <c r="T143" s="4">
        <v>-97</v>
      </c>
      <c r="U143" s="4">
        <f t="shared" si="5"/>
        <v>201.96</v>
      </c>
      <c r="V143" s="5">
        <v>0.638</v>
      </c>
      <c r="W143" s="6">
        <v>0.69</v>
      </c>
      <c r="AU143" s="3" t="s">
        <v>73</v>
      </c>
      <c r="AW143" s="2" t="s">
        <v>93</v>
      </c>
      <c r="AZ143" t="s">
        <v>532</v>
      </c>
      <c r="BB143" s="7" t="str">
        <f>HYPERLINK("https://v360.in/diamondview.aspx?cid=preet&amp;d=HN-136-49","https://v360.in/diamondview.aspx?cid=preet&amp;d=HN-136-49")</f>
        <v>https://v360.in/diamondview.aspx?cid=preet&amp;d=HN-136-49</v>
      </c>
    </row>
    <row r="144" ht="15.75" spans="1:54">
      <c r="A144" s="2" t="s">
        <v>533</v>
      </c>
      <c r="B144" s="3" t="s">
        <v>63</v>
      </c>
      <c r="C144" s="2" t="s">
        <v>321</v>
      </c>
      <c r="D144" s="2">
        <v>1.02</v>
      </c>
      <c r="E144" s="2" t="s">
        <v>63</v>
      </c>
      <c r="F144" s="2" t="s">
        <v>91</v>
      </c>
      <c r="G144" s="2" t="s">
        <v>67</v>
      </c>
      <c r="H144" s="2" t="s">
        <v>68</v>
      </c>
      <c r="I144" s="2" t="s">
        <v>68</v>
      </c>
      <c r="J144" s="2" t="s">
        <v>70</v>
      </c>
      <c r="L144" s="2" t="s">
        <v>534</v>
      </c>
      <c r="O144" t="s">
        <v>72</v>
      </c>
      <c r="P144" s="2">
        <v>550231422</v>
      </c>
      <c r="R144" s="2">
        <v>7000</v>
      </c>
      <c r="S144" s="4">
        <f t="shared" si="4"/>
        <v>7140</v>
      </c>
      <c r="T144" s="4">
        <v>-97</v>
      </c>
      <c r="U144" s="4">
        <f t="shared" si="5"/>
        <v>214.2</v>
      </c>
      <c r="V144" s="5">
        <v>0.632</v>
      </c>
      <c r="W144" s="5">
        <v>0.685</v>
      </c>
      <c r="AU144" s="3" t="s">
        <v>73</v>
      </c>
      <c r="AW144" s="2" t="s">
        <v>74</v>
      </c>
      <c r="AZ144" t="s">
        <v>535</v>
      </c>
      <c r="BB144" s="7" t="str">
        <f>HYPERLINK("https://v360.in/diamondview.aspx?cid=preet&amp;d=HN-101-40","https://v360.in/diamondview.aspx?cid=preet&amp;d=HN-101-40")</f>
        <v>https://v360.in/diamondview.aspx?cid=preet&amp;d=HN-101-40</v>
      </c>
    </row>
    <row r="145" ht="15.75" spans="1:54">
      <c r="A145" s="2" t="s">
        <v>536</v>
      </c>
      <c r="B145" s="3" t="s">
        <v>63</v>
      </c>
      <c r="C145" s="2" t="s">
        <v>321</v>
      </c>
      <c r="D145" s="2">
        <v>1.01</v>
      </c>
      <c r="E145" s="2" t="s">
        <v>119</v>
      </c>
      <c r="F145" s="2" t="s">
        <v>91</v>
      </c>
      <c r="G145" s="2" t="s">
        <v>67</v>
      </c>
      <c r="H145" s="2" t="s">
        <v>68</v>
      </c>
      <c r="I145" s="2" t="s">
        <v>68</v>
      </c>
      <c r="J145" s="2" t="s">
        <v>70</v>
      </c>
      <c r="L145" s="2" t="s">
        <v>537</v>
      </c>
      <c r="O145" t="s">
        <v>72</v>
      </c>
      <c r="P145" s="2">
        <v>570376205</v>
      </c>
      <c r="R145" s="2">
        <v>8000</v>
      </c>
      <c r="S145" s="4">
        <f t="shared" si="4"/>
        <v>8080</v>
      </c>
      <c r="T145" s="4">
        <v>-97</v>
      </c>
      <c r="U145" s="4">
        <f t="shared" si="5"/>
        <v>242.4</v>
      </c>
      <c r="V145" s="5">
        <v>0.633</v>
      </c>
      <c r="W145" s="6">
        <v>0.7</v>
      </c>
      <c r="AU145" s="3" t="s">
        <v>73</v>
      </c>
      <c r="AW145" s="2" t="s">
        <v>93</v>
      </c>
      <c r="AZ145" t="s">
        <v>538</v>
      </c>
      <c r="BB145" s="7" t="str">
        <f>HYPERLINK("https://v360.in/diamondview.aspx?cid=preet&amp;d=HN-142-45","https://v360.in/diamondview.aspx?cid=preet&amp;d=HN-142-45")</f>
        <v>https://v360.in/diamondview.aspx?cid=preet&amp;d=HN-142-45</v>
      </c>
    </row>
    <row r="146" ht="15.75" spans="1:54">
      <c r="A146" s="2" t="s">
        <v>539</v>
      </c>
      <c r="B146" s="3" t="s">
        <v>63</v>
      </c>
      <c r="C146" s="2" t="s">
        <v>321</v>
      </c>
      <c r="D146" s="2">
        <v>1.01</v>
      </c>
      <c r="E146" s="2" t="s">
        <v>65</v>
      </c>
      <c r="F146" s="2" t="s">
        <v>66</v>
      </c>
      <c r="G146" s="2" t="s">
        <v>67</v>
      </c>
      <c r="H146" s="2" t="s">
        <v>68</v>
      </c>
      <c r="I146" s="2" t="s">
        <v>68</v>
      </c>
      <c r="J146" s="2" t="s">
        <v>70</v>
      </c>
      <c r="L146" s="2" t="s">
        <v>540</v>
      </c>
      <c r="O146" t="s">
        <v>72</v>
      </c>
      <c r="P146" s="2">
        <v>567356443</v>
      </c>
      <c r="R146" s="2">
        <v>6900</v>
      </c>
      <c r="S146" s="4">
        <f t="shared" si="4"/>
        <v>6969</v>
      </c>
      <c r="T146" s="4">
        <v>-97</v>
      </c>
      <c r="U146" s="4">
        <f t="shared" si="5"/>
        <v>209.07</v>
      </c>
      <c r="V146" s="5">
        <v>0.651</v>
      </c>
      <c r="W146" s="6">
        <v>0.67</v>
      </c>
      <c r="AU146" s="3" t="s">
        <v>73</v>
      </c>
      <c r="AW146" s="2" t="s">
        <v>93</v>
      </c>
      <c r="AZ146" t="s">
        <v>541</v>
      </c>
      <c r="BB146" s="7" t="str">
        <f>HYPERLINK("https://v360.in/diamondview.aspx?cid=preet&amp;d=HN-136-47","https://v360.in/diamondview.aspx?cid=preet&amp;d=HN-136-47")</f>
        <v>https://v360.in/diamondview.aspx?cid=preet&amp;d=HN-136-47</v>
      </c>
    </row>
    <row r="147" ht="15.75" spans="1:54">
      <c r="A147" s="2" t="s">
        <v>542</v>
      </c>
      <c r="B147" s="3" t="s">
        <v>63</v>
      </c>
      <c r="C147" s="2" t="s">
        <v>321</v>
      </c>
      <c r="D147" s="2">
        <v>1.01</v>
      </c>
      <c r="E147" s="2" t="s">
        <v>65</v>
      </c>
      <c r="F147" s="2" t="s">
        <v>91</v>
      </c>
      <c r="G147" s="2" t="s">
        <v>67</v>
      </c>
      <c r="H147" s="2" t="s">
        <v>68</v>
      </c>
      <c r="I147" s="2" t="s">
        <v>68</v>
      </c>
      <c r="J147" s="2" t="s">
        <v>70</v>
      </c>
      <c r="L147" s="2" t="s">
        <v>543</v>
      </c>
      <c r="O147" t="s">
        <v>72</v>
      </c>
      <c r="P147" s="2">
        <v>570376244</v>
      </c>
      <c r="R147" s="2">
        <v>7500</v>
      </c>
      <c r="S147" s="4">
        <f t="shared" si="4"/>
        <v>7575</v>
      </c>
      <c r="T147" s="4">
        <v>-97</v>
      </c>
      <c r="U147" s="4">
        <f t="shared" si="5"/>
        <v>227.25</v>
      </c>
      <c r="V147" s="5">
        <v>0.664</v>
      </c>
      <c r="W147" s="6">
        <v>0.64</v>
      </c>
      <c r="AU147" s="3" t="s">
        <v>73</v>
      </c>
      <c r="AW147" s="2" t="s">
        <v>93</v>
      </c>
      <c r="AZ147" t="s">
        <v>544</v>
      </c>
      <c r="BB147" s="7" t="str">
        <f>HYPERLINK("https://v360.in/diamondview.aspx?cid=preet&amp;d=HN-142-41","https://v360.in/diamondview.aspx?cid=preet&amp;d=HN-142-41")</f>
        <v>https://v360.in/diamondview.aspx?cid=preet&amp;d=HN-142-41</v>
      </c>
    </row>
    <row r="148" ht="15.75" spans="1:54">
      <c r="A148" s="2" t="s">
        <v>545</v>
      </c>
      <c r="B148" s="3" t="s">
        <v>63</v>
      </c>
      <c r="C148" s="2" t="s">
        <v>321</v>
      </c>
      <c r="D148" s="2">
        <v>1.01</v>
      </c>
      <c r="E148" s="2" t="s">
        <v>65</v>
      </c>
      <c r="F148" s="2" t="s">
        <v>91</v>
      </c>
      <c r="G148" s="2" t="s">
        <v>67</v>
      </c>
      <c r="H148" s="2" t="s">
        <v>68</v>
      </c>
      <c r="I148" s="2" t="s">
        <v>68</v>
      </c>
      <c r="J148" s="2" t="s">
        <v>70</v>
      </c>
      <c r="L148" s="2" t="s">
        <v>546</v>
      </c>
      <c r="O148" t="s">
        <v>72</v>
      </c>
      <c r="P148" s="2">
        <v>564365283</v>
      </c>
      <c r="R148" s="2">
        <v>7500</v>
      </c>
      <c r="S148" s="4">
        <f t="shared" si="4"/>
        <v>7575</v>
      </c>
      <c r="T148" s="4">
        <v>-97</v>
      </c>
      <c r="U148" s="4">
        <f t="shared" si="5"/>
        <v>227.25</v>
      </c>
      <c r="V148" s="5">
        <v>0.657</v>
      </c>
      <c r="W148" s="5">
        <v>0.635</v>
      </c>
      <c r="AU148" s="3" t="s">
        <v>73</v>
      </c>
      <c r="AW148" s="2" t="s">
        <v>93</v>
      </c>
      <c r="AZ148" t="s">
        <v>547</v>
      </c>
      <c r="BB148" s="7" t="str">
        <f>HYPERLINK("https://v360.in/diamondview.aspx?cid=preet&amp;d=HN-134-80","https://v360.in/diamondview.aspx?cid=preet&amp;d=HN-134-80")</f>
        <v>https://v360.in/diamondview.aspx?cid=preet&amp;d=HN-134-80</v>
      </c>
    </row>
    <row r="149" ht="15.75" spans="1:54">
      <c r="A149" s="2" t="s">
        <v>548</v>
      </c>
      <c r="B149" s="3" t="s">
        <v>63</v>
      </c>
      <c r="C149" s="2" t="s">
        <v>321</v>
      </c>
      <c r="D149" s="2">
        <v>1.01</v>
      </c>
      <c r="E149" s="2" t="s">
        <v>65</v>
      </c>
      <c r="F149" s="2" t="s">
        <v>155</v>
      </c>
      <c r="G149" s="2" t="s">
        <v>67</v>
      </c>
      <c r="H149" s="2" t="s">
        <v>68</v>
      </c>
      <c r="I149" s="2" t="s">
        <v>68</v>
      </c>
      <c r="J149" s="2" t="s">
        <v>70</v>
      </c>
      <c r="L149" s="2" t="s">
        <v>549</v>
      </c>
      <c r="O149" t="s">
        <v>72</v>
      </c>
      <c r="P149" s="2">
        <v>553259842</v>
      </c>
      <c r="R149" s="2">
        <v>5700</v>
      </c>
      <c r="S149" s="4">
        <f t="shared" si="4"/>
        <v>5757</v>
      </c>
      <c r="T149" s="4">
        <v>-97</v>
      </c>
      <c r="U149" s="4">
        <f t="shared" si="5"/>
        <v>172.71</v>
      </c>
      <c r="V149" s="5">
        <v>0.681</v>
      </c>
      <c r="W149" s="6">
        <v>0.68</v>
      </c>
      <c r="AU149" s="3" t="s">
        <v>73</v>
      </c>
      <c r="AW149" s="2" t="s">
        <v>74</v>
      </c>
      <c r="AZ149" t="s">
        <v>550</v>
      </c>
      <c r="BB149" s="7" t="str">
        <f>HYPERLINK("https://v360.in/diamondview.aspx?cid=preet&amp;d=HN-128-46","https://v360.in/diamondview.aspx?cid=preet&amp;d=HN-128-46")</f>
        <v>https://v360.in/diamondview.aspx?cid=preet&amp;d=HN-128-46</v>
      </c>
    </row>
    <row r="150" ht="15.75" spans="1:54">
      <c r="A150" s="2" t="s">
        <v>551</v>
      </c>
      <c r="B150" s="3" t="s">
        <v>63</v>
      </c>
      <c r="C150" s="2" t="s">
        <v>321</v>
      </c>
      <c r="D150" s="2">
        <v>1.01</v>
      </c>
      <c r="E150" s="2" t="s">
        <v>63</v>
      </c>
      <c r="F150" s="2" t="s">
        <v>66</v>
      </c>
      <c r="G150" s="2" t="s">
        <v>67</v>
      </c>
      <c r="H150" s="2" t="s">
        <v>68</v>
      </c>
      <c r="I150" s="2" t="s">
        <v>68</v>
      </c>
      <c r="J150" s="2" t="s">
        <v>70</v>
      </c>
      <c r="L150" s="2" t="s">
        <v>552</v>
      </c>
      <c r="O150" t="s">
        <v>72</v>
      </c>
      <c r="P150" s="2">
        <v>570370831</v>
      </c>
      <c r="R150" s="2">
        <v>6600</v>
      </c>
      <c r="S150" s="4">
        <f t="shared" si="4"/>
        <v>6666</v>
      </c>
      <c r="T150" s="4">
        <v>-97</v>
      </c>
      <c r="U150" s="4">
        <f t="shared" si="5"/>
        <v>199.98</v>
      </c>
      <c r="V150" s="5">
        <v>0.613</v>
      </c>
      <c r="W150" s="5">
        <v>0.695</v>
      </c>
      <c r="AU150" s="3" t="s">
        <v>73</v>
      </c>
      <c r="AW150" s="2" t="s">
        <v>93</v>
      </c>
      <c r="AZ150" t="s">
        <v>553</v>
      </c>
      <c r="BB150" s="7" t="str">
        <f>HYPERLINK("https://v360.in/diamondview.aspx?cid=preet&amp;d=HN-147-19","https://v360.in/diamondview.aspx?cid=preet&amp;d=HN-147-19")</f>
        <v>https://v360.in/diamondview.aspx?cid=preet&amp;d=HN-147-19</v>
      </c>
    </row>
    <row r="151" ht="15.75" spans="1:54">
      <c r="A151" s="2" t="s">
        <v>554</v>
      </c>
      <c r="B151" s="3" t="s">
        <v>63</v>
      </c>
      <c r="C151" s="2" t="s">
        <v>321</v>
      </c>
      <c r="D151" s="2">
        <v>1.01</v>
      </c>
      <c r="E151" s="2" t="s">
        <v>63</v>
      </c>
      <c r="F151" s="2" t="s">
        <v>66</v>
      </c>
      <c r="G151" s="2" t="s">
        <v>67</v>
      </c>
      <c r="H151" s="2" t="s">
        <v>68</v>
      </c>
      <c r="I151" s="2" t="s">
        <v>68</v>
      </c>
      <c r="J151" s="2" t="s">
        <v>70</v>
      </c>
      <c r="L151" s="2" t="s">
        <v>555</v>
      </c>
      <c r="O151" t="s">
        <v>72</v>
      </c>
      <c r="P151" s="2">
        <v>570376188</v>
      </c>
      <c r="R151" s="2">
        <v>6600</v>
      </c>
      <c r="S151" s="4">
        <f t="shared" si="4"/>
        <v>6666</v>
      </c>
      <c r="T151" s="4">
        <v>-97</v>
      </c>
      <c r="U151" s="4">
        <f t="shared" si="5"/>
        <v>199.98</v>
      </c>
      <c r="V151" s="5">
        <v>0.638</v>
      </c>
      <c r="W151" s="5">
        <v>0.655</v>
      </c>
      <c r="AU151" s="3" t="s">
        <v>73</v>
      </c>
      <c r="AW151" s="2" t="s">
        <v>93</v>
      </c>
      <c r="AZ151" t="s">
        <v>556</v>
      </c>
      <c r="BB151" s="7" t="str">
        <f>HYPERLINK("https://v360.in/diamondview.aspx?cid=preet&amp;d=HN-148-4","https://v360.in/diamondview.aspx?cid=preet&amp;d=HN-148-4")</f>
        <v>https://v360.in/diamondview.aspx?cid=preet&amp;d=HN-148-4</v>
      </c>
    </row>
    <row r="152" ht="15.75" spans="1:54">
      <c r="A152" s="2" t="s">
        <v>557</v>
      </c>
      <c r="B152" s="3" t="s">
        <v>63</v>
      </c>
      <c r="C152" s="2" t="s">
        <v>321</v>
      </c>
      <c r="D152" s="2">
        <v>1.01</v>
      </c>
      <c r="E152" s="2" t="s">
        <v>558</v>
      </c>
      <c r="F152" s="2" t="s">
        <v>91</v>
      </c>
      <c r="G152" s="2" t="s">
        <v>67</v>
      </c>
      <c r="H152" s="2" t="s">
        <v>68</v>
      </c>
      <c r="I152" s="2" t="s">
        <v>68</v>
      </c>
      <c r="J152" s="2" t="s">
        <v>70</v>
      </c>
      <c r="L152" s="2" t="s">
        <v>559</v>
      </c>
      <c r="O152" t="s">
        <v>72</v>
      </c>
      <c r="P152" s="2">
        <v>497182210</v>
      </c>
      <c r="R152" s="2">
        <v>5200</v>
      </c>
      <c r="S152" s="4">
        <f t="shared" si="4"/>
        <v>5252</v>
      </c>
      <c r="T152" s="4">
        <v>-97</v>
      </c>
      <c r="U152" s="4">
        <f t="shared" si="5"/>
        <v>157.56</v>
      </c>
      <c r="V152" s="5">
        <v>0.686</v>
      </c>
      <c r="W152" s="2">
        <v>64</v>
      </c>
      <c r="AU152" s="3" t="s">
        <v>73</v>
      </c>
      <c r="AW152" s="2" t="s">
        <v>74</v>
      </c>
      <c r="AZ152" t="s">
        <v>560</v>
      </c>
      <c r="BB152" s="7" t="str">
        <f>HYPERLINK("","")</f>
        <v/>
      </c>
    </row>
    <row r="153" ht="15.75" spans="1:54">
      <c r="A153" s="2" t="s">
        <v>561</v>
      </c>
      <c r="B153" s="3" t="s">
        <v>63</v>
      </c>
      <c r="C153" s="2" t="s">
        <v>321</v>
      </c>
      <c r="D153" s="2">
        <v>1</v>
      </c>
      <c r="E153" s="2" t="s">
        <v>119</v>
      </c>
      <c r="F153" s="2" t="s">
        <v>66</v>
      </c>
      <c r="G153" s="2" t="s">
        <v>67</v>
      </c>
      <c r="H153" s="2" t="s">
        <v>68</v>
      </c>
      <c r="I153" s="2" t="s">
        <v>96</v>
      </c>
      <c r="J153" s="2" t="s">
        <v>70</v>
      </c>
      <c r="L153" s="2" t="s">
        <v>562</v>
      </c>
      <c r="O153" t="s">
        <v>72</v>
      </c>
      <c r="P153" s="2">
        <v>550231425</v>
      </c>
      <c r="R153" s="2">
        <v>7200</v>
      </c>
      <c r="S153" s="4">
        <f t="shared" si="4"/>
        <v>7200</v>
      </c>
      <c r="T153" s="4">
        <v>-97</v>
      </c>
      <c r="U153" s="4">
        <f t="shared" si="5"/>
        <v>216</v>
      </c>
      <c r="V153" s="5">
        <v>0.661</v>
      </c>
      <c r="W153" s="5">
        <v>0.715</v>
      </c>
      <c r="AU153" s="3" t="s">
        <v>73</v>
      </c>
      <c r="AW153" s="2" t="s">
        <v>74</v>
      </c>
      <c r="AZ153" t="s">
        <v>563</v>
      </c>
      <c r="BB153" s="7" t="str">
        <f>HYPERLINK("https://v360.in/diamondview.aspx?cid=preet&amp;d=HN-100-59","https://v360.in/diamondview.aspx?cid=preet&amp;d=HN-100-59")</f>
        <v>https://v360.in/diamondview.aspx?cid=preet&amp;d=HN-100-59</v>
      </c>
    </row>
    <row r="154" ht="15.75" spans="1:54">
      <c r="A154" s="2" t="s">
        <v>564</v>
      </c>
      <c r="B154" s="3" t="s">
        <v>63</v>
      </c>
      <c r="C154" s="2" t="s">
        <v>321</v>
      </c>
      <c r="D154" s="2">
        <v>1</v>
      </c>
      <c r="E154" s="2" t="s">
        <v>65</v>
      </c>
      <c r="F154" s="2" t="s">
        <v>66</v>
      </c>
      <c r="G154" s="2" t="s">
        <v>67</v>
      </c>
      <c r="H154" s="2" t="s">
        <v>68</v>
      </c>
      <c r="I154" s="2" t="s">
        <v>68</v>
      </c>
      <c r="J154" s="2" t="s">
        <v>70</v>
      </c>
      <c r="L154" s="2" t="s">
        <v>565</v>
      </c>
      <c r="O154" t="s">
        <v>72</v>
      </c>
      <c r="P154" s="2">
        <v>564365284</v>
      </c>
      <c r="R154" s="2">
        <v>6900</v>
      </c>
      <c r="S154" s="4">
        <f t="shared" si="4"/>
        <v>6900</v>
      </c>
      <c r="T154" s="4">
        <v>-97</v>
      </c>
      <c r="U154" s="4">
        <f t="shared" si="5"/>
        <v>207</v>
      </c>
      <c r="V154" s="5">
        <v>0.658</v>
      </c>
      <c r="W154" s="6">
        <v>0.67</v>
      </c>
      <c r="AU154" s="3" t="s">
        <v>73</v>
      </c>
      <c r="AW154" s="2" t="s">
        <v>93</v>
      </c>
      <c r="AZ154" t="s">
        <v>566</v>
      </c>
      <c r="BB154" s="7" t="str">
        <f>HYPERLINK("https://v360.in/diamondview.aspx?cid=preet&amp;d=HN-134-79","https://v360.in/diamondview.aspx?cid=preet&amp;d=HN-134-79")</f>
        <v>https://v360.in/diamondview.aspx?cid=preet&amp;d=HN-134-79</v>
      </c>
    </row>
    <row r="155" ht="15.75" spans="1:54">
      <c r="A155" s="2" t="s">
        <v>567</v>
      </c>
      <c r="B155" s="3" t="s">
        <v>63</v>
      </c>
      <c r="C155" s="2" t="s">
        <v>321</v>
      </c>
      <c r="D155" s="2">
        <v>1</v>
      </c>
      <c r="E155" s="2" t="s">
        <v>65</v>
      </c>
      <c r="F155" s="2" t="s">
        <v>66</v>
      </c>
      <c r="G155" s="2" t="s">
        <v>67</v>
      </c>
      <c r="H155" s="2" t="s">
        <v>68</v>
      </c>
      <c r="I155" s="2" t="s">
        <v>68</v>
      </c>
      <c r="J155" s="2" t="s">
        <v>70</v>
      </c>
      <c r="L155" s="2" t="s">
        <v>568</v>
      </c>
      <c r="O155" t="s">
        <v>72</v>
      </c>
      <c r="P155" s="2">
        <v>570370821</v>
      </c>
      <c r="R155" s="2">
        <v>6900</v>
      </c>
      <c r="S155" s="4">
        <f t="shared" si="4"/>
        <v>6900</v>
      </c>
      <c r="T155" s="4">
        <v>-97</v>
      </c>
      <c r="U155" s="4">
        <f t="shared" si="5"/>
        <v>207</v>
      </c>
      <c r="V155" s="5">
        <v>0.635</v>
      </c>
      <c r="W155" s="5">
        <v>0.675</v>
      </c>
      <c r="AU155" s="3" t="s">
        <v>73</v>
      </c>
      <c r="AW155" s="2" t="s">
        <v>93</v>
      </c>
      <c r="AZ155" t="s">
        <v>569</v>
      </c>
      <c r="BB155" s="7" t="str">
        <f>HYPERLINK("https://v360.in/diamondview.aspx?cid=preet&amp;d=HN-149-12","https://v360.in/diamondview.aspx?cid=preet&amp;d=HN-149-12")</f>
        <v>https://v360.in/diamondview.aspx?cid=preet&amp;d=HN-149-12</v>
      </c>
    </row>
    <row r="156" ht="15.75" spans="1:54">
      <c r="A156" s="2" t="s">
        <v>570</v>
      </c>
      <c r="B156" s="3" t="s">
        <v>63</v>
      </c>
      <c r="C156" s="2" t="s">
        <v>321</v>
      </c>
      <c r="D156" s="2">
        <v>1</v>
      </c>
      <c r="E156" s="2" t="s">
        <v>65</v>
      </c>
      <c r="F156" s="2" t="s">
        <v>91</v>
      </c>
      <c r="G156" s="2" t="s">
        <v>67</v>
      </c>
      <c r="H156" s="2" t="s">
        <v>68</v>
      </c>
      <c r="I156" s="2" t="s">
        <v>68</v>
      </c>
      <c r="J156" s="2" t="s">
        <v>70</v>
      </c>
      <c r="L156" s="2" t="s">
        <v>571</v>
      </c>
      <c r="O156" t="s">
        <v>72</v>
      </c>
      <c r="P156" s="2">
        <v>570376191</v>
      </c>
      <c r="R156" s="2">
        <v>7500</v>
      </c>
      <c r="S156" s="4">
        <f t="shared" si="4"/>
        <v>7500</v>
      </c>
      <c r="T156" s="4">
        <v>-97</v>
      </c>
      <c r="U156" s="4">
        <f t="shared" si="5"/>
        <v>225</v>
      </c>
      <c r="V156" s="5">
        <v>0.693</v>
      </c>
      <c r="W156" s="5">
        <v>0.605</v>
      </c>
      <c r="AU156" s="3" t="s">
        <v>73</v>
      </c>
      <c r="AW156" s="2" t="s">
        <v>93</v>
      </c>
      <c r="AZ156" t="s">
        <v>572</v>
      </c>
      <c r="BB156" s="7" t="str">
        <f>HYPERLINK("https://v360.in/diamondview.aspx?cid=preet&amp;d=HN-148-10","https://v360.in/diamondview.aspx?cid=preet&amp;d=HN-148-10")</f>
        <v>https://v360.in/diamondview.aspx?cid=preet&amp;d=HN-148-10</v>
      </c>
    </row>
    <row r="157" ht="15.75" spans="1:54">
      <c r="A157" s="2" t="s">
        <v>573</v>
      </c>
      <c r="B157" s="3" t="s">
        <v>63</v>
      </c>
      <c r="C157" s="2" t="s">
        <v>321</v>
      </c>
      <c r="D157" s="2">
        <v>1</v>
      </c>
      <c r="E157" s="2" t="s">
        <v>65</v>
      </c>
      <c r="F157" s="2" t="s">
        <v>91</v>
      </c>
      <c r="G157" s="2" t="s">
        <v>67</v>
      </c>
      <c r="H157" s="2" t="s">
        <v>68</v>
      </c>
      <c r="I157" s="2" t="s">
        <v>68</v>
      </c>
      <c r="J157" s="2" t="s">
        <v>70</v>
      </c>
      <c r="L157" s="2" t="s">
        <v>574</v>
      </c>
      <c r="O157" t="s">
        <v>72</v>
      </c>
      <c r="P157" s="2">
        <v>570376192</v>
      </c>
      <c r="R157" s="2">
        <v>7500</v>
      </c>
      <c r="S157" s="4">
        <f t="shared" si="4"/>
        <v>7500</v>
      </c>
      <c r="T157" s="4">
        <v>-97</v>
      </c>
      <c r="U157" s="4">
        <f t="shared" si="5"/>
        <v>225</v>
      </c>
      <c r="V157" s="5">
        <v>0.677</v>
      </c>
      <c r="W157" s="5">
        <v>0.645</v>
      </c>
      <c r="AU157" s="3" t="s">
        <v>73</v>
      </c>
      <c r="AW157" s="2" t="s">
        <v>93</v>
      </c>
      <c r="AZ157" t="s">
        <v>575</v>
      </c>
      <c r="BB157" s="7" t="str">
        <f>HYPERLINK("https://v360.in/diamondview.aspx?cid=preet&amp;d=HN-148-5","https://v360.in/diamondview.aspx?cid=preet&amp;d=HN-148-5")</f>
        <v>https://v360.in/diamondview.aspx?cid=preet&amp;d=HN-148-5</v>
      </c>
    </row>
    <row r="158" ht="15.75" spans="1:54">
      <c r="A158" s="2" t="s">
        <v>576</v>
      </c>
      <c r="B158" s="3" t="s">
        <v>63</v>
      </c>
      <c r="C158" s="2" t="s">
        <v>321</v>
      </c>
      <c r="D158" s="2">
        <v>1</v>
      </c>
      <c r="E158" s="2" t="s">
        <v>65</v>
      </c>
      <c r="F158" s="2" t="s">
        <v>91</v>
      </c>
      <c r="G158" s="2" t="s">
        <v>67</v>
      </c>
      <c r="H158" s="2" t="s">
        <v>68</v>
      </c>
      <c r="I158" s="2" t="s">
        <v>68</v>
      </c>
      <c r="J158" s="2" t="s">
        <v>70</v>
      </c>
      <c r="L158" s="2" t="s">
        <v>577</v>
      </c>
      <c r="O158" t="s">
        <v>72</v>
      </c>
      <c r="P158" s="2">
        <v>569328561</v>
      </c>
      <c r="R158" s="2">
        <v>7500</v>
      </c>
      <c r="S158" s="4">
        <f t="shared" si="4"/>
        <v>7500</v>
      </c>
      <c r="T158" s="4">
        <v>-97</v>
      </c>
      <c r="U158" s="4">
        <f t="shared" si="5"/>
        <v>225</v>
      </c>
      <c r="V158" s="5">
        <v>0.677</v>
      </c>
      <c r="W158" s="5">
        <v>0.775</v>
      </c>
      <c r="AU158" s="3" t="s">
        <v>73</v>
      </c>
      <c r="AW158" s="2" t="s">
        <v>93</v>
      </c>
      <c r="AZ158" t="s">
        <v>578</v>
      </c>
      <c r="BB158" s="7" t="str">
        <f>HYPERLINK("https://v360.in/diamondview.aspx?cid=preet&amp;d=HN-137-35","https://v360.in/diamondview.aspx?cid=preet&amp;d=HN-137-35")</f>
        <v>https://v360.in/diamondview.aspx?cid=preet&amp;d=HN-137-35</v>
      </c>
    </row>
    <row r="159" ht="15.75" spans="1:54">
      <c r="A159" s="2" t="s">
        <v>579</v>
      </c>
      <c r="B159" s="3" t="s">
        <v>63</v>
      </c>
      <c r="C159" s="2" t="s">
        <v>321</v>
      </c>
      <c r="D159" s="2">
        <v>1</v>
      </c>
      <c r="E159" s="2" t="s">
        <v>65</v>
      </c>
      <c r="F159" s="2" t="s">
        <v>155</v>
      </c>
      <c r="G159" s="2" t="s">
        <v>67</v>
      </c>
      <c r="H159" s="2" t="s">
        <v>68</v>
      </c>
      <c r="I159" s="2" t="s">
        <v>68</v>
      </c>
      <c r="J159" s="2" t="s">
        <v>70</v>
      </c>
      <c r="L159" s="2" t="s">
        <v>580</v>
      </c>
      <c r="O159" t="s">
        <v>72</v>
      </c>
      <c r="P159" s="2">
        <v>528205267</v>
      </c>
      <c r="R159" s="2">
        <v>5700</v>
      </c>
      <c r="S159" s="4">
        <f t="shared" si="4"/>
        <v>5700</v>
      </c>
      <c r="T159" s="4">
        <v>-97</v>
      </c>
      <c r="U159" s="4">
        <f t="shared" si="5"/>
        <v>171</v>
      </c>
      <c r="V159" s="2">
        <v>66</v>
      </c>
      <c r="W159" s="2">
        <v>61</v>
      </c>
      <c r="AU159" s="3" t="s">
        <v>73</v>
      </c>
      <c r="AW159" s="2" t="s">
        <v>74</v>
      </c>
      <c r="AZ159" t="s">
        <v>581</v>
      </c>
      <c r="BB159" s="7" t="str">
        <f>HYPERLINK("https://view.gem360.in/gem360/2005220608-HN44-18/gem360-2005220608-HN44-18.html","https://view.gem360.in/gem360/2005220608-HN44-18/gem360-2005220608-HN44-18.html")</f>
        <v>https://view.gem360.in/gem360/2005220608-HN44-18/gem360-2005220608-HN44-18.html</v>
      </c>
    </row>
    <row r="160" ht="15.75" spans="1:54">
      <c r="A160" s="2" t="s">
        <v>582</v>
      </c>
      <c r="B160" s="3" t="s">
        <v>63</v>
      </c>
      <c r="C160" s="2" t="s">
        <v>321</v>
      </c>
      <c r="D160" s="2">
        <v>1</v>
      </c>
      <c r="E160" s="2" t="s">
        <v>63</v>
      </c>
      <c r="F160" s="2" t="s">
        <v>66</v>
      </c>
      <c r="G160" s="2" t="s">
        <v>67</v>
      </c>
      <c r="H160" s="2" t="s">
        <v>68</v>
      </c>
      <c r="I160" s="2" t="s">
        <v>96</v>
      </c>
      <c r="J160" s="2" t="s">
        <v>70</v>
      </c>
      <c r="L160" s="2" t="s">
        <v>583</v>
      </c>
      <c r="O160" t="s">
        <v>72</v>
      </c>
      <c r="P160" s="2">
        <v>566393805</v>
      </c>
      <c r="R160" s="2">
        <v>6600</v>
      </c>
      <c r="S160" s="4">
        <f t="shared" si="4"/>
        <v>6600</v>
      </c>
      <c r="T160" s="4">
        <v>-97</v>
      </c>
      <c r="U160" s="4">
        <f t="shared" si="5"/>
        <v>198</v>
      </c>
      <c r="V160" s="5">
        <v>0.679</v>
      </c>
      <c r="W160" s="5">
        <v>0.675</v>
      </c>
      <c r="AU160" s="3" t="s">
        <v>73</v>
      </c>
      <c r="AW160" s="2" t="s">
        <v>93</v>
      </c>
      <c r="AZ160" t="s">
        <v>584</v>
      </c>
      <c r="BB160" s="7" t="str">
        <f>HYPERLINK("https://v360.in/diamondview.aspx?cid=preet&amp;d=HN-135-26","https://v360.in/diamondview.aspx?cid=preet&amp;d=HN-135-26")</f>
        <v>https://v360.in/diamondview.aspx?cid=preet&amp;d=HN-135-26</v>
      </c>
    </row>
    <row r="161" ht="15.75" spans="1:54">
      <c r="A161" s="2" t="s">
        <v>585</v>
      </c>
      <c r="B161" s="3" t="s">
        <v>63</v>
      </c>
      <c r="C161" s="2" t="s">
        <v>321</v>
      </c>
      <c r="D161" s="2">
        <v>1</v>
      </c>
      <c r="E161" s="2" t="s">
        <v>63</v>
      </c>
      <c r="F161" s="2" t="s">
        <v>66</v>
      </c>
      <c r="G161" s="2" t="s">
        <v>67</v>
      </c>
      <c r="H161" s="2" t="s">
        <v>68</v>
      </c>
      <c r="I161" s="2" t="s">
        <v>68</v>
      </c>
      <c r="J161" s="2" t="s">
        <v>70</v>
      </c>
      <c r="L161" s="2" t="s">
        <v>586</v>
      </c>
      <c r="O161" t="s">
        <v>72</v>
      </c>
      <c r="P161" s="2">
        <v>569328552</v>
      </c>
      <c r="R161" s="2">
        <v>6600</v>
      </c>
      <c r="S161" s="4">
        <f t="shared" si="4"/>
        <v>6600</v>
      </c>
      <c r="T161" s="4">
        <v>-97</v>
      </c>
      <c r="U161" s="4">
        <f t="shared" si="5"/>
        <v>198</v>
      </c>
      <c r="V161" s="5">
        <v>0.661</v>
      </c>
      <c r="W161" s="5">
        <v>0.675</v>
      </c>
      <c r="AU161" s="3" t="s">
        <v>73</v>
      </c>
      <c r="AW161" s="2" t="s">
        <v>93</v>
      </c>
      <c r="AZ161" t="s">
        <v>587</v>
      </c>
      <c r="BB161" s="7" t="str">
        <f>HYPERLINK("https://v360.in/diamondview.aspx?cid=preet&amp;d=HN-137-29","https://v360.in/diamondview.aspx?cid=preet&amp;d=HN-137-29")</f>
        <v>https://v360.in/diamondview.aspx?cid=preet&amp;d=HN-137-29</v>
      </c>
    </row>
    <row r="162" ht="15.75" spans="1:54">
      <c r="A162" s="2" t="s">
        <v>588</v>
      </c>
      <c r="B162" s="3" t="s">
        <v>63</v>
      </c>
      <c r="C162" s="2" t="s">
        <v>321</v>
      </c>
      <c r="D162" s="2">
        <v>1</v>
      </c>
      <c r="E162" s="2" t="s">
        <v>63</v>
      </c>
      <c r="F162" s="2" t="s">
        <v>66</v>
      </c>
      <c r="G162" s="2" t="s">
        <v>67</v>
      </c>
      <c r="H162" s="2" t="s">
        <v>68</v>
      </c>
      <c r="I162" s="2" t="s">
        <v>68</v>
      </c>
      <c r="J162" s="2" t="s">
        <v>70</v>
      </c>
      <c r="L162" s="2" t="s">
        <v>589</v>
      </c>
      <c r="O162" t="s">
        <v>72</v>
      </c>
      <c r="P162" s="2">
        <v>567356392</v>
      </c>
      <c r="R162" s="2">
        <v>6600</v>
      </c>
      <c r="S162" s="4">
        <f t="shared" si="4"/>
        <v>6600</v>
      </c>
      <c r="T162" s="4">
        <v>-97</v>
      </c>
      <c r="U162" s="4">
        <f t="shared" si="5"/>
        <v>198</v>
      </c>
      <c r="V162" s="5">
        <v>0.643</v>
      </c>
      <c r="W162" s="5">
        <v>0.715</v>
      </c>
      <c r="AU162" s="3" t="s">
        <v>73</v>
      </c>
      <c r="AW162" s="2" t="s">
        <v>93</v>
      </c>
      <c r="AZ162" t="s">
        <v>590</v>
      </c>
      <c r="BB162" s="7" t="str">
        <f>HYPERLINK("https://v360.in/diamondview.aspx?cid=preet&amp;d=HN-136-50","https://v360.in/diamondview.aspx?cid=preet&amp;d=HN-136-50")</f>
        <v>https://v360.in/diamondview.aspx?cid=preet&amp;d=HN-136-50</v>
      </c>
    </row>
    <row r="163" ht="15.75" spans="1:54">
      <c r="A163" s="2" t="s">
        <v>591</v>
      </c>
      <c r="B163" s="3" t="s">
        <v>63</v>
      </c>
      <c r="C163" s="2" t="s">
        <v>321</v>
      </c>
      <c r="D163" s="2">
        <v>1</v>
      </c>
      <c r="E163" s="2" t="s">
        <v>63</v>
      </c>
      <c r="F163" s="2" t="s">
        <v>91</v>
      </c>
      <c r="G163" s="2" t="s">
        <v>67</v>
      </c>
      <c r="H163" s="2" t="s">
        <v>68</v>
      </c>
      <c r="I163" s="2" t="s">
        <v>68</v>
      </c>
      <c r="J163" s="2" t="s">
        <v>70</v>
      </c>
      <c r="L163" s="2" t="s">
        <v>592</v>
      </c>
      <c r="O163" t="s">
        <v>72</v>
      </c>
      <c r="P163" s="2">
        <v>570370830</v>
      </c>
      <c r="R163" s="2">
        <v>7000</v>
      </c>
      <c r="S163" s="4">
        <f t="shared" si="4"/>
        <v>7000</v>
      </c>
      <c r="T163" s="4">
        <v>-97</v>
      </c>
      <c r="U163" s="4">
        <f t="shared" si="5"/>
        <v>210</v>
      </c>
      <c r="V163" s="5">
        <v>0.685</v>
      </c>
      <c r="W163" s="5">
        <v>0.595</v>
      </c>
      <c r="AU163" s="3" t="s">
        <v>73</v>
      </c>
      <c r="AW163" s="2" t="s">
        <v>93</v>
      </c>
      <c r="AZ163" t="s">
        <v>593</v>
      </c>
      <c r="BB163" s="7" t="str">
        <f>HYPERLINK("https://v360.in/diamondview.aspx?cid=preet&amp;d=HN-147-23","https://v360.in/diamondview.aspx?cid=preet&amp;d=HN-147-23")</f>
        <v>https://v360.in/diamondview.aspx?cid=preet&amp;d=HN-147-23</v>
      </c>
    </row>
    <row r="164" ht="15.75" spans="1:54">
      <c r="A164" s="2" t="s">
        <v>594</v>
      </c>
      <c r="B164" s="3" t="s">
        <v>63</v>
      </c>
      <c r="C164" s="2" t="s">
        <v>321</v>
      </c>
      <c r="D164" s="2">
        <v>0.94</v>
      </c>
      <c r="E164" s="2" t="s">
        <v>63</v>
      </c>
      <c r="F164" s="2" t="s">
        <v>143</v>
      </c>
      <c r="G164" s="2" t="s">
        <v>67</v>
      </c>
      <c r="H164" s="2" t="s">
        <v>68</v>
      </c>
      <c r="I164" s="2" t="s">
        <v>68</v>
      </c>
      <c r="J164" s="2" t="s">
        <v>70</v>
      </c>
      <c r="L164" s="2" t="s">
        <v>595</v>
      </c>
      <c r="O164" t="s">
        <v>72</v>
      </c>
      <c r="P164" s="2">
        <v>529266445</v>
      </c>
      <c r="R164" s="2">
        <v>5600</v>
      </c>
      <c r="S164" s="4">
        <f t="shared" si="4"/>
        <v>5264</v>
      </c>
      <c r="T164" s="4">
        <v>-97</v>
      </c>
      <c r="U164" s="4">
        <f t="shared" si="5"/>
        <v>157.92</v>
      </c>
      <c r="V164" s="5">
        <v>0.705</v>
      </c>
      <c r="W164" s="2">
        <v>68</v>
      </c>
      <c r="AU164" s="3" t="s">
        <v>73</v>
      </c>
      <c r="AW164" s="2" t="s">
        <v>74</v>
      </c>
      <c r="AZ164" t="s">
        <v>596</v>
      </c>
      <c r="BB164" s="7" t="str">
        <f>HYPERLINK("","")</f>
        <v/>
      </c>
    </row>
    <row r="165" ht="15.75" spans="1:54">
      <c r="A165" s="2" t="s">
        <v>597</v>
      </c>
      <c r="B165" s="3" t="s">
        <v>63</v>
      </c>
      <c r="C165" s="2" t="s">
        <v>321</v>
      </c>
      <c r="D165" s="2">
        <v>0.91</v>
      </c>
      <c r="E165" s="2" t="s">
        <v>65</v>
      </c>
      <c r="F165" s="2" t="s">
        <v>91</v>
      </c>
      <c r="G165" s="2" t="s">
        <v>67</v>
      </c>
      <c r="H165" s="2" t="s">
        <v>68</v>
      </c>
      <c r="I165" s="2" t="s">
        <v>68</v>
      </c>
      <c r="J165" s="2" t="s">
        <v>70</v>
      </c>
      <c r="L165" s="2" t="s">
        <v>598</v>
      </c>
      <c r="O165" t="s">
        <v>72</v>
      </c>
      <c r="P165" s="2">
        <v>561278550</v>
      </c>
      <c r="R165" s="2">
        <v>5700</v>
      </c>
      <c r="S165" s="4">
        <f t="shared" si="4"/>
        <v>5187</v>
      </c>
      <c r="T165" s="4">
        <v>-97</v>
      </c>
      <c r="U165" s="4">
        <f t="shared" si="5"/>
        <v>155.61</v>
      </c>
      <c r="V165" s="5">
        <v>0.699</v>
      </c>
      <c r="W165" s="5">
        <v>0.545</v>
      </c>
      <c r="AU165" s="3" t="s">
        <v>73</v>
      </c>
      <c r="AW165" s="2" t="s">
        <v>93</v>
      </c>
      <c r="AZ165" t="s">
        <v>599</v>
      </c>
      <c r="BB165" s="7" t="str">
        <f>HYPERLINK("https://v360.in/diamondview.aspx?cid=preet&amp;d=HN-129-49","https://v360.in/diamondview.aspx?cid=preet&amp;d=HN-129-49")</f>
        <v>https://v360.in/diamondview.aspx?cid=preet&amp;d=HN-129-49</v>
      </c>
    </row>
    <row r="166" ht="15.75" spans="1:54">
      <c r="A166" s="2" t="s">
        <v>600</v>
      </c>
      <c r="B166" s="3" t="s">
        <v>63</v>
      </c>
      <c r="C166" s="2" t="s">
        <v>321</v>
      </c>
      <c r="D166" s="2">
        <v>0.9</v>
      </c>
      <c r="E166" s="2" t="s">
        <v>65</v>
      </c>
      <c r="F166" s="2" t="s">
        <v>143</v>
      </c>
      <c r="G166" s="2" t="s">
        <v>67</v>
      </c>
      <c r="H166" s="2" t="s">
        <v>68</v>
      </c>
      <c r="I166" s="2" t="s">
        <v>68</v>
      </c>
      <c r="J166" s="2" t="s">
        <v>70</v>
      </c>
      <c r="L166" s="2" t="s">
        <v>601</v>
      </c>
      <c r="O166" t="s">
        <v>72</v>
      </c>
      <c r="P166" s="2">
        <v>547266574</v>
      </c>
      <c r="R166" s="2">
        <v>6000</v>
      </c>
      <c r="S166" s="4">
        <f t="shared" si="4"/>
        <v>5400</v>
      </c>
      <c r="T166" s="4">
        <v>-97</v>
      </c>
      <c r="U166" s="4">
        <f t="shared" si="5"/>
        <v>162</v>
      </c>
      <c r="V166" s="5">
        <v>0.675</v>
      </c>
      <c r="W166" s="6">
        <v>0.61</v>
      </c>
      <c r="AU166" s="3" t="s">
        <v>73</v>
      </c>
      <c r="AW166" s="2" t="s">
        <v>74</v>
      </c>
      <c r="AZ166" t="s">
        <v>602</v>
      </c>
      <c r="BB166" s="7" t="str">
        <f>HYPERLINK("","")</f>
        <v/>
      </c>
    </row>
    <row r="167" ht="15.75" spans="1:54">
      <c r="A167" s="2" t="s">
        <v>603</v>
      </c>
      <c r="B167" s="3" t="s">
        <v>63</v>
      </c>
      <c r="C167" s="2" t="s">
        <v>321</v>
      </c>
      <c r="D167" s="2">
        <v>0.9</v>
      </c>
      <c r="E167" s="2" t="s">
        <v>65</v>
      </c>
      <c r="F167" s="2" t="s">
        <v>91</v>
      </c>
      <c r="G167" s="2" t="s">
        <v>67</v>
      </c>
      <c r="H167" s="2" t="s">
        <v>69</v>
      </c>
      <c r="I167" s="2" t="s">
        <v>69</v>
      </c>
      <c r="J167" s="2" t="s">
        <v>70</v>
      </c>
      <c r="L167" s="2" t="s">
        <v>604</v>
      </c>
      <c r="O167" t="s">
        <v>72</v>
      </c>
      <c r="P167" s="2">
        <v>547266575</v>
      </c>
      <c r="R167" s="2">
        <v>5700</v>
      </c>
      <c r="S167" s="4">
        <f t="shared" si="4"/>
        <v>5130</v>
      </c>
      <c r="T167" s="4">
        <v>-97</v>
      </c>
      <c r="U167" s="4">
        <f t="shared" si="5"/>
        <v>153.9</v>
      </c>
      <c r="V167" s="5">
        <v>0.693</v>
      </c>
      <c r="W167" s="5">
        <v>0.665</v>
      </c>
      <c r="AU167" s="3" t="s">
        <v>73</v>
      </c>
      <c r="AW167" s="2" t="s">
        <v>74</v>
      </c>
      <c r="AZ167" t="s">
        <v>605</v>
      </c>
      <c r="BB167" s="7" t="str">
        <f>HYPERLINK("","")</f>
        <v/>
      </c>
    </row>
    <row r="168" ht="15.75" spans="1:54">
      <c r="A168" s="2" t="s">
        <v>606</v>
      </c>
      <c r="B168" s="3" t="s">
        <v>63</v>
      </c>
      <c r="C168" s="2" t="s">
        <v>321</v>
      </c>
      <c r="D168" s="2">
        <v>0.8</v>
      </c>
      <c r="E168" s="2" t="s">
        <v>63</v>
      </c>
      <c r="F168" s="2" t="s">
        <v>66</v>
      </c>
      <c r="G168" s="2" t="s">
        <v>67</v>
      </c>
      <c r="H168" s="2" t="s">
        <v>69</v>
      </c>
      <c r="I168" s="2" t="s">
        <v>69</v>
      </c>
      <c r="J168" s="2" t="s">
        <v>70</v>
      </c>
      <c r="L168" s="2" t="s">
        <v>607</v>
      </c>
      <c r="O168" t="s">
        <v>72</v>
      </c>
      <c r="P168" s="2">
        <v>523298129</v>
      </c>
      <c r="R168" s="2">
        <v>3900</v>
      </c>
      <c r="S168" s="4">
        <f t="shared" si="4"/>
        <v>3120</v>
      </c>
      <c r="T168" s="4">
        <v>-97</v>
      </c>
      <c r="U168" s="4">
        <f t="shared" si="5"/>
        <v>93.6</v>
      </c>
      <c r="V168" s="5">
        <v>0.589</v>
      </c>
      <c r="W168" s="2">
        <v>72</v>
      </c>
      <c r="AU168" s="3" t="s">
        <v>73</v>
      </c>
      <c r="AW168" s="2" t="s">
        <v>74</v>
      </c>
      <c r="AZ168" t="s">
        <v>608</v>
      </c>
      <c r="BB168" s="7" t="str">
        <f>HYPERLINK("https://view.gem360.in/gem360/3004220515-HN43-59/gem360-3004220515-HN43-59.html","https://view.gem360.in/gem360/3004220515-HN43-59/gem360-3004220515-HN43-59.html")</f>
        <v>https://view.gem360.in/gem360/3004220515-HN43-59/gem360-3004220515-HN43-59.html</v>
      </c>
    </row>
    <row r="169" ht="15.75" spans="1:54">
      <c r="A169" s="2" t="s">
        <v>609</v>
      </c>
      <c r="B169" s="3" t="s">
        <v>63</v>
      </c>
      <c r="C169" s="2" t="s">
        <v>321</v>
      </c>
      <c r="D169" s="2">
        <v>0.8</v>
      </c>
      <c r="E169" s="2" t="s">
        <v>63</v>
      </c>
      <c r="F169" s="2" t="s">
        <v>91</v>
      </c>
      <c r="G169" s="2" t="s">
        <v>67</v>
      </c>
      <c r="H169" s="2" t="s">
        <v>68</v>
      </c>
      <c r="I169" s="2" t="s">
        <v>68</v>
      </c>
      <c r="J169" s="2" t="s">
        <v>70</v>
      </c>
      <c r="L169" s="2" t="s">
        <v>610</v>
      </c>
      <c r="O169" t="s">
        <v>72</v>
      </c>
      <c r="P169" s="2">
        <v>550231339</v>
      </c>
      <c r="R169" s="2">
        <v>4300</v>
      </c>
      <c r="S169" s="4">
        <f t="shared" si="4"/>
        <v>3440</v>
      </c>
      <c r="T169" s="4">
        <v>-97</v>
      </c>
      <c r="U169" s="4">
        <f t="shared" si="5"/>
        <v>103.2</v>
      </c>
      <c r="V169" s="5">
        <v>0.635</v>
      </c>
      <c r="W169" s="5">
        <v>0.675</v>
      </c>
      <c r="AU169" s="3" t="s">
        <v>73</v>
      </c>
      <c r="AW169" s="2" t="s">
        <v>74</v>
      </c>
      <c r="AZ169" t="s">
        <v>611</v>
      </c>
      <c r="BB169" s="7" t="str">
        <f>HYPERLINK("https://v360.in/diamondview.aspx?cid=preet&amp;d=HN-101-45","https://v360.in/diamondview.aspx?cid=preet&amp;d=HN-101-45")</f>
        <v>https://v360.in/diamondview.aspx?cid=preet&amp;d=HN-101-45</v>
      </c>
    </row>
    <row r="170" ht="15.75" spans="1:54">
      <c r="A170" s="2" t="s">
        <v>612</v>
      </c>
      <c r="B170" s="3" t="s">
        <v>63</v>
      </c>
      <c r="C170" s="2" t="s">
        <v>613</v>
      </c>
      <c r="D170" s="2">
        <v>3.02</v>
      </c>
      <c r="E170" s="2" t="s">
        <v>63</v>
      </c>
      <c r="F170" s="2" t="s">
        <v>66</v>
      </c>
      <c r="G170" s="2" t="s">
        <v>67</v>
      </c>
      <c r="H170" s="2" t="s">
        <v>68</v>
      </c>
      <c r="I170" s="2" t="s">
        <v>68</v>
      </c>
      <c r="J170" s="2" t="s">
        <v>70</v>
      </c>
      <c r="L170" s="2" t="s">
        <v>614</v>
      </c>
      <c r="O170" t="s">
        <v>72</v>
      </c>
      <c r="P170" s="2">
        <v>560231337</v>
      </c>
      <c r="R170" s="2">
        <v>20500</v>
      </c>
      <c r="S170" s="4">
        <f t="shared" si="4"/>
        <v>61910</v>
      </c>
      <c r="T170" s="4">
        <v>-97</v>
      </c>
      <c r="U170" s="4">
        <f t="shared" si="5"/>
        <v>1857.3</v>
      </c>
      <c r="V170" s="5">
        <v>0.673</v>
      </c>
      <c r="W170" s="2">
        <v>75</v>
      </c>
      <c r="AU170" s="3" t="s">
        <v>73</v>
      </c>
      <c r="AW170" s="2" t="s">
        <v>74</v>
      </c>
      <c r="AZ170" t="s">
        <v>615</v>
      </c>
      <c r="BB170" s="7" t="str">
        <f>HYPERLINK("https://v360.in/diamondview.aspx?cid=preet&amp;d=HN-130-24","https://v360.in/diamondview.aspx?cid=preet&amp;d=HN-130-24")</f>
        <v>https://v360.in/diamondview.aspx?cid=preet&amp;d=HN-130-24</v>
      </c>
    </row>
    <row r="171" ht="15.75" spans="1:54">
      <c r="A171" s="2" t="s">
        <v>616</v>
      </c>
      <c r="B171" s="3" t="s">
        <v>63</v>
      </c>
      <c r="C171" s="2" t="s">
        <v>613</v>
      </c>
      <c r="D171" s="2">
        <v>3.02</v>
      </c>
      <c r="E171" s="2" t="s">
        <v>63</v>
      </c>
      <c r="F171" s="2" t="s">
        <v>91</v>
      </c>
      <c r="G171" s="2" t="s">
        <v>67</v>
      </c>
      <c r="H171" s="2" t="s">
        <v>68</v>
      </c>
      <c r="I171" s="2" t="s">
        <v>68</v>
      </c>
      <c r="J171" s="2" t="s">
        <v>70</v>
      </c>
      <c r="L171" s="2" t="s">
        <v>617</v>
      </c>
      <c r="O171" t="s">
        <v>72</v>
      </c>
      <c r="P171" s="2">
        <v>520291602</v>
      </c>
      <c r="R171" s="2">
        <v>22500</v>
      </c>
      <c r="S171" s="4">
        <f t="shared" si="4"/>
        <v>67950</v>
      </c>
      <c r="T171" s="4">
        <v>-97</v>
      </c>
      <c r="U171" s="4">
        <f t="shared" si="5"/>
        <v>2038.5</v>
      </c>
      <c r="V171" s="5">
        <v>0.706</v>
      </c>
      <c r="W171" s="2">
        <v>70</v>
      </c>
      <c r="AU171" s="3" t="s">
        <v>73</v>
      </c>
      <c r="AW171" s="2" t="s">
        <v>74</v>
      </c>
      <c r="AZ171" t="s">
        <v>618</v>
      </c>
      <c r="BB171" s="7" t="str">
        <f>HYPERLINK("HTTPS://V360.IN/DIAMONDVIEW.ASPX?CID=MEET&amp;D=HN-52-9","HTTPS://V360.IN/DIAMONDVIEW.ASPX?CID=MEET&amp;D=HN-52-9")</f>
        <v>HTTPS://V360.IN/DIAMONDVIEW.ASPX?CID=MEET&amp;D=HN-52-9</v>
      </c>
    </row>
    <row r="172" ht="15.75" spans="1:54">
      <c r="A172" s="2" t="s">
        <v>619</v>
      </c>
      <c r="B172" s="3" t="s">
        <v>63</v>
      </c>
      <c r="C172" s="2" t="s">
        <v>613</v>
      </c>
      <c r="D172" s="2">
        <v>3.01</v>
      </c>
      <c r="E172" s="2" t="s">
        <v>63</v>
      </c>
      <c r="F172" s="2" t="s">
        <v>91</v>
      </c>
      <c r="G172" s="2" t="s">
        <v>67</v>
      </c>
      <c r="H172" s="2" t="s">
        <v>68</v>
      </c>
      <c r="I172" s="2" t="s">
        <v>68</v>
      </c>
      <c r="J172" s="2" t="s">
        <v>70</v>
      </c>
      <c r="L172" s="2" t="s">
        <v>620</v>
      </c>
      <c r="O172" t="s">
        <v>72</v>
      </c>
      <c r="P172" s="2">
        <v>520208329</v>
      </c>
      <c r="R172" s="2">
        <v>22500</v>
      </c>
      <c r="S172" s="4">
        <f t="shared" si="4"/>
        <v>67725</v>
      </c>
      <c r="T172" s="4">
        <v>-97</v>
      </c>
      <c r="U172" s="4">
        <f t="shared" si="5"/>
        <v>2031.75</v>
      </c>
      <c r="V172" s="2">
        <v>73</v>
      </c>
      <c r="W172" s="5">
        <v>0.665</v>
      </c>
      <c r="AU172" s="3" t="s">
        <v>73</v>
      </c>
      <c r="AW172" s="2" t="s">
        <v>74</v>
      </c>
      <c r="AZ172" t="s">
        <v>621</v>
      </c>
      <c r="BB172" s="7" t="str">
        <f>HYPERLINK("https://view.gem360.in/gem360/0504220718-HN52-7/gem360-0504220718-HN52-7.html","https://view.gem360.in/gem360/0504220718-HN52-7/gem360-0504220718-HN52-7.html")</f>
        <v>https://view.gem360.in/gem360/0504220718-HN52-7/gem360-0504220718-HN52-7.html</v>
      </c>
    </row>
    <row r="173" ht="15.75" spans="1:54">
      <c r="A173" s="2" t="s">
        <v>622</v>
      </c>
      <c r="B173" s="3" t="s">
        <v>63</v>
      </c>
      <c r="C173" s="2" t="s">
        <v>613</v>
      </c>
      <c r="D173" s="2">
        <v>2.7</v>
      </c>
      <c r="E173" s="2" t="s">
        <v>63</v>
      </c>
      <c r="F173" s="2" t="s">
        <v>91</v>
      </c>
      <c r="G173" s="2" t="s">
        <v>67</v>
      </c>
      <c r="H173" s="2" t="s">
        <v>68</v>
      </c>
      <c r="I173" s="2" t="s">
        <v>68</v>
      </c>
      <c r="J173" s="2" t="s">
        <v>70</v>
      </c>
      <c r="L173" s="2" t="s">
        <v>623</v>
      </c>
      <c r="O173" t="s">
        <v>72</v>
      </c>
      <c r="P173" s="2">
        <v>570376236</v>
      </c>
      <c r="R173" s="2">
        <v>15500</v>
      </c>
      <c r="S173" s="4">
        <f t="shared" si="4"/>
        <v>41850</v>
      </c>
      <c r="T173" s="4">
        <v>-97</v>
      </c>
      <c r="U173" s="4">
        <f t="shared" si="5"/>
        <v>1255.5</v>
      </c>
      <c r="V173" s="5">
        <v>0.657</v>
      </c>
      <c r="W173" s="5">
        <v>0.755</v>
      </c>
      <c r="AU173" s="3" t="s">
        <v>73</v>
      </c>
      <c r="AW173" s="2" t="s">
        <v>93</v>
      </c>
      <c r="AZ173" t="s">
        <v>624</v>
      </c>
      <c r="BB173" s="7" t="str">
        <f>HYPERLINK("https://v360.in/diamondview.aspx?cid=preet&amp;d=HN-142-33","https://v360.in/diamondview.aspx?cid=preet&amp;d=HN-142-33")</f>
        <v>https://v360.in/diamondview.aspx?cid=preet&amp;d=HN-142-33</v>
      </c>
    </row>
    <row r="174" ht="15.75" spans="1:54">
      <c r="A174" s="2" t="s">
        <v>625</v>
      </c>
      <c r="B174" s="3" t="s">
        <v>63</v>
      </c>
      <c r="C174" s="2" t="s">
        <v>613</v>
      </c>
      <c r="D174" s="2">
        <v>2.61</v>
      </c>
      <c r="E174" s="2" t="s">
        <v>63</v>
      </c>
      <c r="F174" s="2" t="s">
        <v>66</v>
      </c>
      <c r="G174" s="2" t="s">
        <v>67</v>
      </c>
      <c r="H174" s="2" t="s">
        <v>68</v>
      </c>
      <c r="I174" s="2" t="s">
        <v>68</v>
      </c>
      <c r="J174" s="2" t="s">
        <v>70</v>
      </c>
      <c r="L174" s="2" t="s">
        <v>626</v>
      </c>
      <c r="O174" t="s">
        <v>72</v>
      </c>
      <c r="P174" s="2">
        <v>553217186</v>
      </c>
      <c r="R174" s="2">
        <v>14500</v>
      </c>
      <c r="S174" s="4">
        <f t="shared" si="4"/>
        <v>37845</v>
      </c>
      <c r="T174" s="4">
        <v>-97</v>
      </c>
      <c r="U174" s="4">
        <f t="shared" si="5"/>
        <v>1135.35</v>
      </c>
      <c r="V174" s="5">
        <v>0.705</v>
      </c>
      <c r="W174" s="6">
        <v>0.72</v>
      </c>
      <c r="AU174" s="3" t="s">
        <v>73</v>
      </c>
      <c r="AW174" s="2" t="s">
        <v>74</v>
      </c>
      <c r="AZ174" t="s">
        <v>627</v>
      </c>
      <c r="BB174" s="7" t="str">
        <f>HYPERLINK("https://v360.in/diamondview.aspx?cid=preet&amp;d=HN-128-20","https://v360.in/diamondview.aspx?cid=preet&amp;d=HN-128-20")</f>
        <v>https://v360.in/diamondview.aspx?cid=preet&amp;d=HN-128-20</v>
      </c>
    </row>
    <row r="175" ht="15.75" spans="1:54">
      <c r="A175" s="2" t="s">
        <v>628</v>
      </c>
      <c r="B175" s="3" t="s">
        <v>63</v>
      </c>
      <c r="C175" s="2" t="s">
        <v>613</v>
      </c>
      <c r="D175" s="2">
        <v>2.6</v>
      </c>
      <c r="E175" s="2" t="s">
        <v>81</v>
      </c>
      <c r="F175" s="2" t="s">
        <v>155</v>
      </c>
      <c r="G175" s="2" t="s">
        <v>67</v>
      </c>
      <c r="H175" s="2" t="s">
        <v>68</v>
      </c>
      <c r="I175" s="2" t="s">
        <v>68</v>
      </c>
      <c r="J175" s="2" t="s">
        <v>70</v>
      </c>
      <c r="L175" s="2" t="s">
        <v>629</v>
      </c>
      <c r="O175" t="s">
        <v>72</v>
      </c>
      <c r="P175" s="2">
        <v>561259403</v>
      </c>
      <c r="R175" s="2">
        <v>11100</v>
      </c>
      <c r="S175" s="4">
        <f t="shared" si="4"/>
        <v>28860</v>
      </c>
      <c r="T175" s="4">
        <v>-97</v>
      </c>
      <c r="U175" s="4">
        <f t="shared" si="5"/>
        <v>865.8</v>
      </c>
      <c r="V175" s="5">
        <v>0.658</v>
      </c>
      <c r="W175" s="2">
        <v>76</v>
      </c>
      <c r="AU175" s="3" t="s">
        <v>73</v>
      </c>
      <c r="AW175" s="2" t="s">
        <v>74</v>
      </c>
      <c r="AZ175" t="s">
        <v>630</v>
      </c>
      <c r="BB175" s="7" t="str">
        <f>HYPERLINK("https://v360.in/diamondview.aspx?cid=preet&amp;d=HN-129-21","https://v360.in/diamondview.aspx?cid=preet&amp;d=HN-129-21")</f>
        <v>https://v360.in/diamondview.aspx?cid=preet&amp;d=HN-129-21</v>
      </c>
    </row>
    <row r="176" ht="15.75" spans="1:54">
      <c r="A176" s="2" t="s">
        <v>631</v>
      </c>
      <c r="B176" s="3" t="s">
        <v>63</v>
      </c>
      <c r="C176" s="2" t="s">
        <v>613</v>
      </c>
      <c r="D176" s="2">
        <v>2.5</v>
      </c>
      <c r="E176" s="2" t="s">
        <v>65</v>
      </c>
      <c r="F176" s="2" t="s">
        <v>91</v>
      </c>
      <c r="G176" s="2" t="s">
        <v>67</v>
      </c>
      <c r="H176" s="2" t="s">
        <v>68</v>
      </c>
      <c r="I176" s="2" t="s">
        <v>68</v>
      </c>
      <c r="J176" s="2" t="s">
        <v>70</v>
      </c>
      <c r="L176" s="2" t="s">
        <v>632</v>
      </c>
      <c r="O176" t="s">
        <v>72</v>
      </c>
      <c r="P176" s="2">
        <v>553217219</v>
      </c>
      <c r="R176" s="2">
        <v>17000</v>
      </c>
      <c r="S176" s="4">
        <f t="shared" si="4"/>
        <v>42500</v>
      </c>
      <c r="T176" s="4">
        <v>-97</v>
      </c>
      <c r="U176" s="4">
        <f t="shared" si="5"/>
        <v>1275</v>
      </c>
      <c r="V176" s="2">
        <v>64</v>
      </c>
      <c r="W176" s="2">
        <v>73</v>
      </c>
      <c r="AU176" s="3" t="s">
        <v>73</v>
      </c>
      <c r="AW176" s="2" t="s">
        <v>74</v>
      </c>
      <c r="AZ176" t="s">
        <v>633</v>
      </c>
      <c r="BB176" s="7" t="str">
        <f>HYPERLINK("https://v360.in/diamondview.aspx?cid=preet&amp;d=HN-127-4","https://v360.in/diamondview.aspx?cid=preet&amp;d=HN-127-4")</f>
        <v>https://v360.in/diamondview.aspx?cid=preet&amp;d=HN-127-4</v>
      </c>
    </row>
    <row r="177" ht="15.75" spans="1:54">
      <c r="A177" s="2" t="s">
        <v>634</v>
      </c>
      <c r="B177" s="3" t="s">
        <v>63</v>
      </c>
      <c r="C177" s="2" t="s">
        <v>613</v>
      </c>
      <c r="D177" s="2">
        <v>2.4</v>
      </c>
      <c r="E177" s="2" t="s">
        <v>63</v>
      </c>
      <c r="F177" s="2" t="s">
        <v>66</v>
      </c>
      <c r="G177" s="2" t="s">
        <v>67</v>
      </c>
      <c r="H177" s="2" t="s">
        <v>68</v>
      </c>
      <c r="I177" s="2" t="s">
        <v>68</v>
      </c>
      <c r="J177" s="2" t="s">
        <v>70</v>
      </c>
      <c r="L177" s="2" t="s">
        <v>635</v>
      </c>
      <c r="O177" t="s">
        <v>72</v>
      </c>
      <c r="P177" s="2">
        <v>560231282</v>
      </c>
      <c r="R177" s="2">
        <v>14500</v>
      </c>
      <c r="S177" s="4">
        <f t="shared" si="4"/>
        <v>34800</v>
      </c>
      <c r="T177" s="4">
        <v>-97</v>
      </c>
      <c r="U177" s="4">
        <f t="shared" si="5"/>
        <v>1044</v>
      </c>
      <c r="V177" s="5">
        <v>0.711</v>
      </c>
      <c r="W177" s="5">
        <v>0.645</v>
      </c>
      <c r="AU177" s="3" t="s">
        <v>73</v>
      </c>
      <c r="AW177" s="2" t="s">
        <v>74</v>
      </c>
      <c r="AZ177" t="s">
        <v>636</v>
      </c>
      <c r="BB177" s="7" t="str">
        <f>HYPERLINK("https://v360.in/diamondview.aspx?cid=preet&amp;d=HN-130-33","https://v360.in/diamondview.aspx?cid=preet&amp;d=HN-130-33")</f>
        <v>https://v360.in/diamondview.aspx?cid=preet&amp;d=HN-130-33</v>
      </c>
    </row>
    <row r="178" ht="15.75" spans="1:54">
      <c r="A178" s="2" t="s">
        <v>637</v>
      </c>
      <c r="B178" s="3" t="s">
        <v>63</v>
      </c>
      <c r="C178" s="2" t="s">
        <v>613</v>
      </c>
      <c r="D178" s="2">
        <v>2.31</v>
      </c>
      <c r="E178" s="2" t="s">
        <v>119</v>
      </c>
      <c r="F178" s="2" t="s">
        <v>66</v>
      </c>
      <c r="G178" s="2" t="s">
        <v>67</v>
      </c>
      <c r="H178" s="2" t="s">
        <v>68</v>
      </c>
      <c r="I178" s="2" t="s">
        <v>68</v>
      </c>
      <c r="J178" s="2" t="s">
        <v>70</v>
      </c>
      <c r="L178" s="2" t="s">
        <v>638</v>
      </c>
      <c r="O178" t="s">
        <v>72</v>
      </c>
      <c r="P178" s="2">
        <v>553259912</v>
      </c>
      <c r="R178" s="2">
        <v>16500</v>
      </c>
      <c r="S178" s="4">
        <f t="shared" si="4"/>
        <v>38115</v>
      </c>
      <c r="T178" s="4">
        <v>-97</v>
      </c>
      <c r="U178" s="4">
        <f t="shared" si="5"/>
        <v>1143.45</v>
      </c>
      <c r="V178" s="5">
        <v>0.653</v>
      </c>
      <c r="W178" s="6">
        <v>0.73</v>
      </c>
      <c r="AU178" s="3" t="s">
        <v>73</v>
      </c>
      <c r="AW178" s="2" t="s">
        <v>74</v>
      </c>
      <c r="AZ178" t="s">
        <v>639</v>
      </c>
      <c r="BB178" s="7" t="str">
        <f>HYPERLINK("https://v360.in/diamondview.aspx?cid=preet&amp;d=HN-127-30","https://v360.in/diamondview.aspx?cid=preet&amp;d=HN-127-30")</f>
        <v>https://v360.in/diamondview.aspx?cid=preet&amp;d=HN-127-30</v>
      </c>
    </row>
    <row r="179" ht="15.75" spans="1:54">
      <c r="A179" s="2" t="s">
        <v>640</v>
      </c>
      <c r="B179" s="3" t="s">
        <v>63</v>
      </c>
      <c r="C179" s="2" t="s">
        <v>613</v>
      </c>
      <c r="D179" s="2">
        <v>2.14</v>
      </c>
      <c r="E179" s="2" t="s">
        <v>63</v>
      </c>
      <c r="F179" s="2" t="s">
        <v>91</v>
      </c>
      <c r="G179" s="2" t="s">
        <v>67</v>
      </c>
      <c r="H179" s="2" t="s">
        <v>68</v>
      </c>
      <c r="I179" s="2" t="s">
        <v>68</v>
      </c>
      <c r="J179" s="2" t="s">
        <v>70</v>
      </c>
      <c r="L179" s="2" t="s">
        <v>641</v>
      </c>
      <c r="O179" t="s">
        <v>72</v>
      </c>
      <c r="P179" s="2">
        <v>570376238</v>
      </c>
      <c r="R179" s="2">
        <v>15500</v>
      </c>
      <c r="S179" s="4">
        <f t="shared" si="4"/>
        <v>33170</v>
      </c>
      <c r="T179" s="4">
        <v>-97</v>
      </c>
      <c r="U179" s="4">
        <f t="shared" si="5"/>
        <v>995.1</v>
      </c>
      <c r="V179" s="5">
        <v>0.691</v>
      </c>
      <c r="W179" s="6">
        <v>0.73</v>
      </c>
      <c r="AU179" s="3" t="s">
        <v>73</v>
      </c>
      <c r="AW179" s="2" t="s">
        <v>93</v>
      </c>
      <c r="AZ179" t="s">
        <v>642</v>
      </c>
      <c r="BB179" s="7" t="str">
        <f>HYPERLINK("https://v360.in/diamondview.aspx?cid=preet&amp;d=HN-142-32","https://v360.in/diamondview.aspx?cid=preet&amp;d=HN-142-32")</f>
        <v>https://v360.in/diamondview.aspx?cid=preet&amp;d=HN-142-32</v>
      </c>
    </row>
    <row r="180" ht="15.75" spans="1:54">
      <c r="A180" s="2" t="s">
        <v>643</v>
      </c>
      <c r="B180" s="3" t="s">
        <v>63</v>
      </c>
      <c r="C180" s="2" t="s">
        <v>613</v>
      </c>
      <c r="D180" s="2">
        <v>2.13</v>
      </c>
      <c r="E180" s="2" t="s">
        <v>63</v>
      </c>
      <c r="F180" s="2" t="s">
        <v>66</v>
      </c>
      <c r="G180" s="2" t="s">
        <v>67</v>
      </c>
      <c r="H180" s="2" t="s">
        <v>68</v>
      </c>
      <c r="I180" s="2" t="s">
        <v>68</v>
      </c>
      <c r="J180" s="2" t="s">
        <v>70</v>
      </c>
      <c r="L180" s="2" t="s">
        <v>644</v>
      </c>
      <c r="O180" t="s">
        <v>72</v>
      </c>
      <c r="P180" s="2">
        <v>551214620</v>
      </c>
      <c r="R180" s="2">
        <v>14500</v>
      </c>
      <c r="S180" s="4">
        <f t="shared" si="4"/>
        <v>30885</v>
      </c>
      <c r="T180" s="4">
        <v>-97</v>
      </c>
      <c r="U180" s="4">
        <f t="shared" si="5"/>
        <v>926.55</v>
      </c>
      <c r="V180" s="5">
        <v>0.689</v>
      </c>
      <c r="W180" s="5">
        <v>0.715</v>
      </c>
      <c r="AU180" s="3" t="s">
        <v>73</v>
      </c>
      <c r="AW180" s="2" t="s">
        <v>74</v>
      </c>
      <c r="AZ180" t="s">
        <v>645</v>
      </c>
      <c r="BB180" s="7" t="str">
        <f>HYPERLINK("https://v360.in/diamondview.aspx?cid=preet&amp;d=HN-127-5","https://v360.in/diamondview.aspx?cid=preet&amp;d=HN-127-5")</f>
        <v>https://v360.in/diamondview.aspx?cid=preet&amp;d=HN-127-5</v>
      </c>
    </row>
    <row r="181" ht="15.75" spans="1:54">
      <c r="A181" s="2" t="s">
        <v>646</v>
      </c>
      <c r="B181" s="3" t="s">
        <v>63</v>
      </c>
      <c r="C181" s="2" t="s">
        <v>613</v>
      </c>
      <c r="D181" s="2">
        <v>2.12</v>
      </c>
      <c r="E181" s="2" t="s">
        <v>65</v>
      </c>
      <c r="F181" s="2" t="s">
        <v>155</v>
      </c>
      <c r="G181" s="2" t="s">
        <v>67</v>
      </c>
      <c r="H181" s="2" t="s">
        <v>68</v>
      </c>
      <c r="I181" s="2" t="s">
        <v>68</v>
      </c>
      <c r="J181" s="2" t="s">
        <v>70</v>
      </c>
      <c r="L181" s="2" t="s">
        <v>647</v>
      </c>
      <c r="O181" t="s">
        <v>72</v>
      </c>
      <c r="P181" s="2">
        <v>559298573</v>
      </c>
      <c r="R181" s="2">
        <v>13200</v>
      </c>
      <c r="S181" s="4">
        <f t="shared" si="4"/>
        <v>27984</v>
      </c>
      <c r="T181" s="4">
        <v>-97</v>
      </c>
      <c r="U181" s="4">
        <f t="shared" si="5"/>
        <v>839.52</v>
      </c>
      <c r="V181" s="5">
        <v>0.699</v>
      </c>
      <c r="W181" s="5">
        <v>0.685</v>
      </c>
      <c r="AU181" s="3" t="s">
        <v>73</v>
      </c>
      <c r="AW181" s="2" t="s">
        <v>74</v>
      </c>
      <c r="AZ181" t="s">
        <v>648</v>
      </c>
      <c r="BB181" s="7" t="str">
        <f>HYPERLINK("https://v360.in/diamondview.aspx?cid=preet&amp;d=HN-129-27","https://v360.in/diamondview.aspx?cid=preet&amp;d=HN-129-27")</f>
        <v>https://v360.in/diamondview.aspx?cid=preet&amp;d=HN-129-27</v>
      </c>
    </row>
    <row r="182" ht="15.75" spans="1:54">
      <c r="A182" s="2" t="s">
        <v>649</v>
      </c>
      <c r="B182" s="3" t="s">
        <v>63</v>
      </c>
      <c r="C182" s="2" t="s">
        <v>613</v>
      </c>
      <c r="D182" s="2">
        <v>2.06</v>
      </c>
      <c r="E182" s="2" t="s">
        <v>81</v>
      </c>
      <c r="F182" s="2" t="s">
        <v>91</v>
      </c>
      <c r="G182" s="2" t="s">
        <v>67</v>
      </c>
      <c r="H182" s="2" t="s">
        <v>68</v>
      </c>
      <c r="I182" s="2" t="s">
        <v>68</v>
      </c>
      <c r="J182" s="2" t="s">
        <v>70</v>
      </c>
      <c r="L182" s="2" t="s">
        <v>650</v>
      </c>
      <c r="O182" t="s">
        <v>72</v>
      </c>
      <c r="P182" s="2">
        <v>522253995</v>
      </c>
      <c r="R182" s="2">
        <v>13000</v>
      </c>
      <c r="S182" s="4">
        <f t="shared" si="4"/>
        <v>26780</v>
      </c>
      <c r="T182" s="4">
        <v>-97</v>
      </c>
      <c r="U182" s="4">
        <f t="shared" si="5"/>
        <v>803.4</v>
      </c>
      <c r="V182" s="2">
        <v>66</v>
      </c>
      <c r="W182" s="2">
        <v>69</v>
      </c>
      <c r="AU182" s="3" t="s">
        <v>73</v>
      </c>
      <c r="AW182" s="2" t="s">
        <v>74</v>
      </c>
      <c r="AZ182" t="s">
        <v>651</v>
      </c>
      <c r="BB182" s="7" t="str">
        <f>HYPERLINK("https://view.gem360.in/gem360/1504220536-HN52-24/gem360-1504220536-HN52-24.html","https://view.gem360.in/gem360/1504220536-HN52-24/gem360-1504220536-HN52-24.html")</f>
        <v>https://view.gem360.in/gem360/1504220536-HN52-24/gem360-1504220536-HN52-24.html</v>
      </c>
    </row>
    <row r="183" ht="15.75" spans="1:54">
      <c r="A183" s="2" t="s">
        <v>652</v>
      </c>
      <c r="B183" s="3" t="s">
        <v>63</v>
      </c>
      <c r="C183" s="2" t="s">
        <v>613</v>
      </c>
      <c r="D183" s="2">
        <v>2.05</v>
      </c>
      <c r="E183" s="2" t="s">
        <v>65</v>
      </c>
      <c r="F183" s="2" t="s">
        <v>66</v>
      </c>
      <c r="G183" s="2" t="s">
        <v>67</v>
      </c>
      <c r="H183" s="2" t="s">
        <v>68</v>
      </c>
      <c r="I183" s="2" t="s">
        <v>68</v>
      </c>
      <c r="J183" s="2" t="s">
        <v>70</v>
      </c>
      <c r="L183" s="2" t="s">
        <v>653</v>
      </c>
      <c r="O183" t="s">
        <v>72</v>
      </c>
      <c r="P183" s="2">
        <v>571301024</v>
      </c>
      <c r="R183" s="2">
        <v>15500</v>
      </c>
      <c r="S183" s="4">
        <f t="shared" si="4"/>
        <v>31775</v>
      </c>
      <c r="T183" s="4">
        <v>-97</v>
      </c>
      <c r="U183" s="4">
        <f t="shared" si="5"/>
        <v>953.25</v>
      </c>
      <c r="V183" s="5">
        <v>0.721</v>
      </c>
      <c r="W183" s="6">
        <v>0.71</v>
      </c>
      <c r="AU183" s="3" t="s">
        <v>73</v>
      </c>
      <c r="AW183" s="2" t="s">
        <v>93</v>
      </c>
      <c r="AZ183" t="s">
        <v>654</v>
      </c>
      <c r="BB183" s="7" t="str">
        <f>HYPERLINK("https://v360.in/diamondview.aspx?cid=preet&amp;d=HN-141-26","https://v360.in/diamondview.aspx?cid=preet&amp;d=HN-141-26")</f>
        <v>https://v360.in/diamondview.aspx?cid=preet&amp;d=HN-141-26</v>
      </c>
    </row>
    <row r="184" ht="15.75" spans="1:54">
      <c r="A184" s="2" t="s">
        <v>655</v>
      </c>
      <c r="B184" s="3" t="s">
        <v>63</v>
      </c>
      <c r="C184" s="2" t="s">
        <v>613</v>
      </c>
      <c r="D184" s="2">
        <v>2.02</v>
      </c>
      <c r="E184" s="2" t="s">
        <v>65</v>
      </c>
      <c r="F184" s="2" t="s">
        <v>66</v>
      </c>
      <c r="G184" s="2" t="s">
        <v>67</v>
      </c>
      <c r="H184" s="2" t="s">
        <v>68</v>
      </c>
      <c r="I184" s="2" t="s">
        <v>68</v>
      </c>
      <c r="J184" s="2" t="s">
        <v>70</v>
      </c>
      <c r="L184" s="2" t="s">
        <v>656</v>
      </c>
      <c r="O184" t="s">
        <v>72</v>
      </c>
      <c r="P184" s="2">
        <v>560231278</v>
      </c>
      <c r="R184" s="2">
        <v>15500</v>
      </c>
      <c r="S184" s="4">
        <f t="shared" si="4"/>
        <v>31310</v>
      </c>
      <c r="T184" s="4">
        <v>-97</v>
      </c>
      <c r="U184" s="4">
        <f t="shared" si="5"/>
        <v>939.3</v>
      </c>
      <c r="V184" s="5">
        <v>0.657</v>
      </c>
      <c r="W184" s="5">
        <v>0.715</v>
      </c>
      <c r="AU184" s="3" t="s">
        <v>73</v>
      </c>
      <c r="AW184" s="2" t="s">
        <v>74</v>
      </c>
      <c r="AZ184" t="s">
        <v>657</v>
      </c>
      <c r="BB184" s="7" t="str">
        <f>HYPERLINK("","")</f>
        <v/>
      </c>
    </row>
    <row r="185" ht="15.75" spans="1:54">
      <c r="A185" s="2" t="s">
        <v>658</v>
      </c>
      <c r="B185" s="3" t="s">
        <v>63</v>
      </c>
      <c r="C185" s="2" t="s">
        <v>613</v>
      </c>
      <c r="D185" s="2">
        <v>2.02</v>
      </c>
      <c r="E185" s="2" t="s">
        <v>63</v>
      </c>
      <c r="F185" s="2" t="s">
        <v>155</v>
      </c>
      <c r="G185" s="2" t="s">
        <v>67</v>
      </c>
      <c r="H185" s="2" t="s">
        <v>68</v>
      </c>
      <c r="I185" s="2" t="s">
        <v>68</v>
      </c>
      <c r="J185" s="2" t="s">
        <v>70</v>
      </c>
      <c r="L185" s="2" t="s">
        <v>659</v>
      </c>
      <c r="O185" t="s">
        <v>72</v>
      </c>
      <c r="P185" s="2">
        <v>553259910</v>
      </c>
      <c r="R185" s="2">
        <v>12200</v>
      </c>
      <c r="S185" s="4">
        <f t="shared" si="4"/>
        <v>24644</v>
      </c>
      <c r="T185" s="4">
        <v>-97</v>
      </c>
      <c r="U185" s="4">
        <f t="shared" si="5"/>
        <v>739.32</v>
      </c>
      <c r="V185" s="5">
        <v>0.723</v>
      </c>
      <c r="W185" s="5">
        <v>0.705</v>
      </c>
      <c r="AU185" s="3" t="s">
        <v>73</v>
      </c>
      <c r="AW185" s="2" t="s">
        <v>74</v>
      </c>
      <c r="AZ185" t="s">
        <v>660</v>
      </c>
      <c r="BB185" s="7" t="str">
        <f>HYPERLINK("https://v360.in/diamondview.aspx?cid=preet&amp;d=HN-127-17","https://v360.in/diamondview.aspx?cid=preet&amp;d=HN-127-17")</f>
        <v>https://v360.in/diamondview.aspx?cid=preet&amp;d=HN-127-17</v>
      </c>
    </row>
    <row r="186" ht="15.75" spans="1:54">
      <c r="A186" s="2" t="s">
        <v>661</v>
      </c>
      <c r="B186" s="3" t="s">
        <v>63</v>
      </c>
      <c r="C186" s="2" t="s">
        <v>613</v>
      </c>
      <c r="D186" s="2">
        <v>2.01</v>
      </c>
      <c r="E186" s="2" t="s">
        <v>65</v>
      </c>
      <c r="F186" s="2" t="s">
        <v>66</v>
      </c>
      <c r="G186" s="2" t="s">
        <v>67</v>
      </c>
      <c r="H186" s="2" t="s">
        <v>68</v>
      </c>
      <c r="I186" s="2" t="s">
        <v>68</v>
      </c>
      <c r="J186" s="2" t="s">
        <v>70</v>
      </c>
      <c r="L186" s="2" t="s">
        <v>662</v>
      </c>
      <c r="O186" t="s">
        <v>72</v>
      </c>
      <c r="P186" s="2">
        <v>560231280</v>
      </c>
      <c r="R186" s="2">
        <v>15500</v>
      </c>
      <c r="S186" s="4">
        <f t="shared" si="4"/>
        <v>31155</v>
      </c>
      <c r="T186" s="4">
        <v>-97</v>
      </c>
      <c r="U186" s="4">
        <f t="shared" si="5"/>
        <v>934.65</v>
      </c>
      <c r="V186" s="5">
        <v>0.691</v>
      </c>
      <c r="W186" s="5">
        <v>0.735</v>
      </c>
      <c r="AU186" s="3" t="s">
        <v>73</v>
      </c>
      <c r="AW186" s="2" t="s">
        <v>74</v>
      </c>
      <c r="AZ186" t="s">
        <v>663</v>
      </c>
      <c r="BB186" s="7" t="str">
        <f>HYPERLINK("","")</f>
        <v/>
      </c>
    </row>
    <row r="187" ht="15.75" spans="1:54">
      <c r="A187" s="2" t="s">
        <v>664</v>
      </c>
      <c r="B187" s="3" t="s">
        <v>63</v>
      </c>
      <c r="C187" s="2" t="s">
        <v>613</v>
      </c>
      <c r="D187" s="2">
        <v>2</v>
      </c>
      <c r="E187" s="2" t="s">
        <v>65</v>
      </c>
      <c r="F187" s="2" t="s">
        <v>155</v>
      </c>
      <c r="G187" s="2" t="s">
        <v>67</v>
      </c>
      <c r="H187" s="2" t="s">
        <v>68</v>
      </c>
      <c r="I187" s="2" t="s">
        <v>68</v>
      </c>
      <c r="J187" s="2" t="s">
        <v>70</v>
      </c>
      <c r="L187" s="2" t="s">
        <v>665</v>
      </c>
      <c r="O187" t="s">
        <v>72</v>
      </c>
      <c r="P187" s="2">
        <v>560231272</v>
      </c>
      <c r="R187" s="2">
        <v>13200</v>
      </c>
      <c r="S187" s="4">
        <f t="shared" si="4"/>
        <v>26400</v>
      </c>
      <c r="T187" s="4">
        <v>-97</v>
      </c>
      <c r="U187" s="4">
        <f t="shared" si="5"/>
        <v>792</v>
      </c>
      <c r="V187" s="5">
        <v>0.657</v>
      </c>
      <c r="W187" s="5">
        <v>0.725</v>
      </c>
      <c r="AU187" s="3" t="s">
        <v>73</v>
      </c>
      <c r="AW187" s="2" t="s">
        <v>74</v>
      </c>
      <c r="AZ187" t="s">
        <v>666</v>
      </c>
      <c r="BB187" s="7" t="str">
        <f>HYPERLINK("https://v360.in/diamondview.aspx?cid=preet&amp;d=HN-130-16","https://v360.in/diamondview.aspx?cid=preet&amp;d=HN-130-16")</f>
        <v>https://v360.in/diamondview.aspx?cid=preet&amp;d=HN-130-16</v>
      </c>
    </row>
    <row r="188" ht="15.75" spans="1:54">
      <c r="A188" s="2" t="s">
        <v>667</v>
      </c>
      <c r="B188" s="3" t="s">
        <v>63</v>
      </c>
      <c r="C188" s="2" t="s">
        <v>613</v>
      </c>
      <c r="D188" s="2">
        <v>1.82</v>
      </c>
      <c r="E188" s="2" t="s">
        <v>119</v>
      </c>
      <c r="F188" s="2" t="s">
        <v>91</v>
      </c>
      <c r="G188" s="2" t="s">
        <v>67</v>
      </c>
      <c r="H188" s="2" t="s">
        <v>68</v>
      </c>
      <c r="I188" s="2" t="s">
        <v>68</v>
      </c>
      <c r="J188" s="2" t="s">
        <v>70</v>
      </c>
      <c r="L188" s="2" t="s">
        <v>668</v>
      </c>
      <c r="O188" t="s">
        <v>72</v>
      </c>
      <c r="P188" s="2">
        <v>561259409</v>
      </c>
      <c r="R188" s="2">
        <v>12800</v>
      </c>
      <c r="S188" s="4">
        <f t="shared" si="4"/>
        <v>23296</v>
      </c>
      <c r="T188" s="4">
        <v>-97</v>
      </c>
      <c r="U188" s="4">
        <f t="shared" si="5"/>
        <v>698.88</v>
      </c>
      <c r="V188" s="5">
        <v>0.723</v>
      </c>
      <c r="W188" s="2">
        <v>71</v>
      </c>
      <c r="AU188" s="3" t="s">
        <v>73</v>
      </c>
      <c r="AW188" s="2" t="s">
        <v>74</v>
      </c>
      <c r="AZ188" t="s">
        <v>669</v>
      </c>
      <c r="BB188" s="7" t="str">
        <f>HYPERLINK("https://v360.in/diamondview.aspx?cid=preet&amp;d=HN-130-25","https://v360.in/diamondview.aspx?cid=preet&amp;d=HN-130-25")</f>
        <v>https://v360.in/diamondview.aspx?cid=preet&amp;d=HN-130-25</v>
      </c>
    </row>
    <row r="189" ht="15.75" spans="1:54">
      <c r="A189" s="2" t="s">
        <v>670</v>
      </c>
      <c r="B189" s="3" t="s">
        <v>63</v>
      </c>
      <c r="C189" s="2" t="s">
        <v>613</v>
      </c>
      <c r="D189" s="2">
        <v>1.7</v>
      </c>
      <c r="E189" s="2" t="s">
        <v>63</v>
      </c>
      <c r="F189" s="2" t="s">
        <v>671</v>
      </c>
      <c r="G189" s="2" t="s">
        <v>67</v>
      </c>
      <c r="H189" s="2" t="s">
        <v>68</v>
      </c>
      <c r="I189" s="2" t="s">
        <v>68</v>
      </c>
      <c r="J189" s="2" t="s">
        <v>70</v>
      </c>
      <c r="L189" s="2" t="s">
        <v>672</v>
      </c>
      <c r="O189" t="s">
        <v>72</v>
      </c>
      <c r="P189" s="2">
        <v>524211503</v>
      </c>
      <c r="R189" s="2">
        <v>12200</v>
      </c>
      <c r="S189" s="4">
        <f t="shared" si="4"/>
        <v>20740</v>
      </c>
      <c r="T189" s="4">
        <v>-97</v>
      </c>
      <c r="U189" s="4">
        <f t="shared" si="5"/>
        <v>622.2</v>
      </c>
      <c r="V189" s="5">
        <v>0.773</v>
      </c>
      <c r="W189" s="2">
        <v>69</v>
      </c>
      <c r="AU189" s="3" t="s">
        <v>73</v>
      </c>
      <c r="AW189" s="2" t="s">
        <v>74</v>
      </c>
      <c r="AZ189" t="s">
        <v>673</v>
      </c>
      <c r="BB189" s="7" t="str">
        <f>HYPERLINK("https://view.gem360.in/gem360/3004220527-HN57-21/gem360-3004220527-HN57-21.html","https://view.gem360.in/gem360/3004220527-HN57-21/gem360-3004220527-HN57-21.html")</f>
        <v>https://view.gem360.in/gem360/3004220527-HN57-21/gem360-3004220527-HN57-21.html</v>
      </c>
    </row>
    <row r="190" ht="15.75" spans="1:54">
      <c r="A190" s="2" t="s">
        <v>674</v>
      </c>
      <c r="B190" s="3" t="s">
        <v>63</v>
      </c>
      <c r="C190" s="2" t="s">
        <v>613</v>
      </c>
      <c r="D190" s="2">
        <v>1.66</v>
      </c>
      <c r="E190" s="2" t="s">
        <v>65</v>
      </c>
      <c r="F190" s="2" t="s">
        <v>66</v>
      </c>
      <c r="G190" s="2" t="s">
        <v>67</v>
      </c>
      <c r="H190" s="2" t="s">
        <v>68</v>
      </c>
      <c r="I190" s="2" t="s">
        <v>68</v>
      </c>
      <c r="J190" s="2" t="s">
        <v>70</v>
      </c>
      <c r="L190" s="2" t="s">
        <v>675</v>
      </c>
      <c r="O190" t="s">
        <v>72</v>
      </c>
      <c r="P190" s="2">
        <v>553259835</v>
      </c>
      <c r="R190" s="2">
        <v>11200</v>
      </c>
      <c r="S190" s="4">
        <f t="shared" si="4"/>
        <v>18592</v>
      </c>
      <c r="T190" s="4">
        <v>-97</v>
      </c>
      <c r="U190" s="4">
        <f t="shared" si="5"/>
        <v>557.76</v>
      </c>
      <c r="V190" s="5">
        <v>0.711</v>
      </c>
      <c r="W190" s="5">
        <v>0.695</v>
      </c>
      <c r="AU190" s="3" t="s">
        <v>73</v>
      </c>
      <c r="AW190" s="2" t="s">
        <v>74</v>
      </c>
      <c r="AZ190" t="s">
        <v>676</v>
      </c>
      <c r="BB190" s="7" t="str">
        <f>HYPERLINK("https://v360.in/diamondview.aspx?cid=preet&amp;d=HN-128-06","https://v360.in/diamondview.aspx?cid=preet&amp;d=HN-128-06")</f>
        <v>https://v360.in/diamondview.aspx?cid=preet&amp;d=HN-128-06</v>
      </c>
    </row>
    <row r="191" ht="15.75" spans="1:54">
      <c r="A191" s="2" t="s">
        <v>677</v>
      </c>
      <c r="B191" s="3" t="s">
        <v>63</v>
      </c>
      <c r="C191" s="2" t="s">
        <v>613</v>
      </c>
      <c r="D191" s="2">
        <v>1.65</v>
      </c>
      <c r="E191" s="2" t="s">
        <v>65</v>
      </c>
      <c r="F191" s="2" t="s">
        <v>91</v>
      </c>
      <c r="G191" s="2" t="s">
        <v>67</v>
      </c>
      <c r="H191" s="2" t="s">
        <v>68</v>
      </c>
      <c r="I191" s="2" t="s">
        <v>68</v>
      </c>
      <c r="J191" s="2" t="s">
        <v>70</v>
      </c>
      <c r="L191" s="2" t="s">
        <v>678</v>
      </c>
      <c r="O191" t="s">
        <v>72</v>
      </c>
      <c r="P191" s="2">
        <v>553217225</v>
      </c>
      <c r="R191" s="2">
        <v>12200</v>
      </c>
      <c r="S191" s="4">
        <f t="shared" si="4"/>
        <v>20130</v>
      </c>
      <c r="T191" s="4">
        <v>-97</v>
      </c>
      <c r="U191" s="4">
        <f t="shared" si="5"/>
        <v>603.9</v>
      </c>
      <c r="V191" s="5">
        <v>0.676</v>
      </c>
      <c r="W191" s="5">
        <v>0.765</v>
      </c>
      <c r="AU191" s="3" t="s">
        <v>73</v>
      </c>
      <c r="AW191" s="2" t="s">
        <v>74</v>
      </c>
      <c r="AZ191" t="s">
        <v>679</v>
      </c>
      <c r="BB191" s="7" t="str">
        <f>HYPERLINK("https://v360.in/diamondview.aspx?cid=preet&amp;d=HN-127-46","https://v360.in/diamondview.aspx?cid=preet&amp;d=HN-127-46")</f>
        <v>https://v360.in/diamondview.aspx?cid=preet&amp;d=HN-127-46</v>
      </c>
    </row>
    <row r="192" ht="15.75" spans="1:54">
      <c r="A192" s="2" t="s">
        <v>680</v>
      </c>
      <c r="B192" s="3" t="s">
        <v>63</v>
      </c>
      <c r="C192" s="2" t="s">
        <v>613</v>
      </c>
      <c r="D192" s="2">
        <v>1.54</v>
      </c>
      <c r="E192" s="2" t="s">
        <v>65</v>
      </c>
      <c r="F192" s="2" t="s">
        <v>66</v>
      </c>
      <c r="G192" s="2" t="s">
        <v>67</v>
      </c>
      <c r="H192" s="2" t="s">
        <v>68</v>
      </c>
      <c r="I192" s="2" t="s">
        <v>68</v>
      </c>
      <c r="J192" s="2" t="s">
        <v>70</v>
      </c>
      <c r="L192" s="2" t="s">
        <v>681</v>
      </c>
      <c r="O192" t="s">
        <v>72</v>
      </c>
      <c r="P192" s="2">
        <v>559298601</v>
      </c>
      <c r="R192" s="2">
        <v>11200</v>
      </c>
      <c r="S192" s="4">
        <f t="shared" si="4"/>
        <v>17248</v>
      </c>
      <c r="T192" s="4">
        <v>-97</v>
      </c>
      <c r="U192" s="4">
        <f t="shared" si="5"/>
        <v>517.44</v>
      </c>
      <c r="V192" s="5">
        <v>0.666</v>
      </c>
      <c r="W192" s="5">
        <v>0.765</v>
      </c>
      <c r="AU192" s="3" t="s">
        <v>73</v>
      </c>
      <c r="AW192" s="2" t="s">
        <v>74</v>
      </c>
      <c r="AZ192" t="s">
        <v>682</v>
      </c>
      <c r="BB192" s="7" t="str">
        <f>HYPERLINK("https://v360.in/diamondview.aspx?cid=preet&amp;d=HN-129-42","https://v360.in/diamondview.aspx?cid=preet&amp;d=HN-129-42")</f>
        <v>https://v360.in/diamondview.aspx?cid=preet&amp;d=HN-129-42</v>
      </c>
    </row>
    <row r="193" ht="15.75" spans="1:54">
      <c r="A193" s="2" t="s">
        <v>683</v>
      </c>
      <c r="B193" s="3" t="s">
        <v>63</v>
      </c>
      <c r="C193" s="2" t="s">
        <v>613</v>
      </c>
      <c r="D193" s="2">
        <v>1.53</v>
      </c>
      <c r="E193" s="2" t="s">
        <v>65</v>
      </c>
      <c r="F193" s="2" t="s">
        <v>91</v>
      </c>
      <c r="G193" s="2" t="s">
        <v>67</v>
      </c>
      <c r="H193" s="2" t="s">
        <v>68</v>
      </c>
      <c r="I193" s="2" t="s">
        <v>68</v>
      </c>
      <c r="J193" s="2" t="s">
        <v>70</v>
      </c>
      <c r="L193" s="2" t="s">
        <v>684</v>
      </c>
      <c r="O193" t="s">
        <v>72</v>
      </c>
      <c r="P193" s="2">
        <v>551214608</v>
      </c>
      <c r="R193" s="2">
        <v>12200</v>
      </c>
      <c r="S193" s="4">
        <f t="shared" si="4"/>
        <v>18666</v>
      </c>
      <c r="T193" s="4">
        <v>-97</v>
      </c>
      <c r="U193" s="4">
        <f t="shared" si="5"/>
        <v>559.98</v>
      </c>
      <c r="V193" s="5">
        <v>0.689</v>
      </c>
      <c r="W193" s="6">
        <v>0.68</v>
      </c>
      <c r="AU193" s="3" t="s">
        <v>73</v>
      </c>
      <c r="AW193" s="2" t="s">
        <v>74</v>
      </c>
      <c r="AZ193" t="s">
        <v>685</v>
      </c>
      <c r="BB193" s="7" t="str">
        <f>HYPERLINK("https://v360.in/diamondview.aspx?cid=preet&amp;d=HN-127-45","https://v360.in/diamondview.aspx?cid=preet&amp;d=HN-127-45")</f>
        <v>https://v360.in/diamondview.aspx?cid=preet&amp;d=HN-127-45</v>
      </c>
    </row>
    <row r="194" ht="15.75" spans="1:54">
      <c r="A194" s="2" t="s">
        <v>686</v>
      </c>
      <c r="B194" s="3" t="s">
        <v>63</v>
      </c>
      <c r="C194" s="2" t="s">
        <v>613</v>
      </c>
      <c r="D194" s="2">
        <v>1.53</v>
      </c>
      <c r="E194" s="2" t="s">
        <v>65</v>
      </c>
      <c r="F194" s="2" t="s">
        <v>155</v>
      </c>
      <c r="G194" s="2" t="s">
        <v>67</v>
      </c>
      <c r="H194" s="2" t="s">
        <v>68</v>
      </c>
      <c r="I194" s="2" t="s">
        <v>68</v>
      </c>
      <c r="J194" s="2" t="s">
        <v>70</v>
      </c>
      <c r="L194" s="2" t="s">
        <v>687</v>
      </c>
      <c r="O194" t="s">
        <v>72</v>
      </c>
      <c r="P194" s="2">
        <v>553219375</v>
      </c>
      <c r="R194" s="2">
        <v>9900</v>
      </c>
      <c r="S194" s="4">
        <f t="shared" si="4"/>
        <v>15147</v>
      </c>
      <c r="T194" s="4">
        <v>-97</v>
      </c>
      <c r="U194" s="4">
        <f t="shared" si="5"/>
        <v>454.41</v>
      </c>
      <c r="V194" s="5">
        <v>0.671</v>
      </c>
      <c r="W194" s="6">
        <v>0.67</v>
      </c>
      <c r="AU194" s="3" t="s">
        <v>73</v>
      </c>
      <c r="AW194" s="2" t="s">
        <v>74</v>
      </c>
      <c r="AZ194" t="s">
        <v>688</v>
      </c>
      <c r="BB194" s="7" t="str">
        <f>HYPERLINK("https://v360.in/diamondview.aspx?cid=preet&amp;d=HN-127-19","https://v360.in/diamondview.aspx?cid=preet&amp;d=HN-127-19")</f>
        <v>https://v360.in/diamondview.aspx?cid=preet&amp;d=HN-127-19</v>
      </c>
    </row>
    <row r="195" ht="15.75" spans="1:54">
      <c r="A195" s="2" t="s">
        <v>689</v>
      </c>
      <c r="B195" s="3" t="s">
        <v>63</v>
      </c>
      <c r="C195" s="2" t="s">
        <v>613</v>
      </c>
      <c r="D195" s="2">
        <v>1.51</v>
      </c>
      <c r="E195" s="2" t="s">
        <v>65</v>
      </c>
      <c r="F195" s="2" t="s">
        <v>91</v>
      </c>
      <c r="G195" s="2" t="s">
        <v>67</v>
      </c>
      <c r="H195" s="2" t="s">
        <v>68</v>
      </c>
      <c r="I195" s="2" t="s">
        <v>68</v>
      </c>
      <c r="J195" s="2" t="s">
        <v>70</v>
      </c>
      <c r="L195" s="2" t="s">
        <v>690</v>
      </c>
      <c r="O195" t="s">
        <v>72</v>
      </c>
      <c r="P195" s="2">
        <v>553259905</v>
      </c>
      <c r="R195" s="2">
        <v>12200</v>
      </c>
      <c r="S195" s="4">
        <f t="shared" ref="S195:S258" si="6">R195*D195</f>
        <v>18422</v>
      </c>
      <c r="T195" s="4">
        <v>-97</v>
      </c>
      <c r="U195" s="4">
        <f t="shared" ref="U195:U258" si="7">(R195+(R195*T195)/100)*D195</f>
        <v>552.66</v>
      </c>
      <c r="V195" s="6">
        <v>0.69</v>
      </c>
      <c r="W195" s="5">
        <v>0.635</v>
      </c>
      <c r="AU195" s="3" t="s">
        <v>73</v>
      </c>
      <c r="AW195" s="2" t="s">
        <v>74</v>
      </c>
      <c r="AZ195" t="s">
        <v>691</v>
      </c>
      <c r="BB195" s="7" t="str">
        <f>HYPERLINK("https://v360.in/diamondview.aspx?cid=preet&amp;d=HN-127-48","https://v360.in/diamondview.aspx?cid=preet&amp;d=HN-127-48")</f>
        <v>https://v360.in/diamondview.aspx?cid=preet&amp;d=HN-127-48</v>
      </c>
    </row>
    <row r="196" ht="15.75" spans="1:54">
      <c r="A196" s="2" t="s">
        <v>692</v>
      </c>
      <c r="B196" s="3" t="s">
        <v>63</v>
      </c>
      <c r="C196" s="2" t="s">
        <v>613</v>
      </c>
      <c r="D196" s="2">
        <v>1.51</v>
      </c>
      <c r="E196" s="2" t="s">
        <v>65</v>
      </c>
      <c r="F196" s="2" t="s">
        <v>155</v>
      </c>
      <c r="G196" s="2" t="s">
        <v>67</v>
      </c>
      <c r="H196" s="2" t="s">
        <v>68</v>
      </c>
      <c r="I196" s="2" t="s">
        <v>68</v>
      </c>
      <c r="J196" s="2" t="s">
        <v>70</v>
      </c>
      <c r="L196" s="2" t="s">
        <v>693</v>
      </c>
      <c r="O196" t="s">
        <v>72</v>
      </c>
      <c r="P196" s="2">
        <v>553217184</v>
      </c>
      <c r="R196" s="2">
        <v>9900</v>
      </c>
      <c r="S196" s="4">
        <f t="shared" si="6"/>
        <v>14949</v>
      </c>
      <c r="T196" s="4">
        <v>-97</v>
      </c>
      <c r="U196" s="4">
        <f t="shared" si="7"/>
        <v>448.47</v>
      </c>
      <c r="V196" s="5">
        <v>0.719</v>
      </c>
      <c r="W196" s="5">
        <v>0.665</v>
      </c>
      <c r="AU196" s="3" t="s">
        <v>73</v>
      </c>
      <c r="AW196" s="2" t="s">
        <v>74</v>
      </c>
      <c r="AZ196" t="s">
        <v>694</v>
      </c>
      <c r="BB196" s="7" t="str">
        <f>HYPERLINK("https://v360.in/diamondview.aspx?cid=preet&amp;d=HN-128-30","https://v360.in/diamondview.aspx?cid=preet&amp;d=HN-128-30")</f>
        <v>https://v360.in/diamondview.aspx?cid=preet&amp;d=HN-128-30</v>
      </c>
    </row>
    <row r="197" ht="15.75" spans="1:54">
      <c r="A197" s="2" t="s">
        <v>695</v>
      </c>
      <c r="B197" s="3" t="s">
        <v>63</v>
      </c>
      <c r="C197" s="2" t="s">
        <v>613</v>
      </c>
      <c r="D197" s="2">
        <v>1.51</v>
      </c>
      <c r="E197" s="2" t="s">
        <v>65</v>
      </c>
      <c r="F197" s="2" t="s">
        <v>155</v>
      </c>
      <c r="G197" s="2" t="s">
        <v>67</v>
      </c>
      <c r="H197" s="2" t="s">
        <v>68</v>
      </c>
      <c r="I197" s="2" t="s">
        <v>68</v>
      </c>
      <c r="J197" s="2" t="s">
        <v>70</v>
      </c>
      <c r="L197" s="2" t="s">
        <v>696</v>
      </c>
      <c r="O197" t="s">
        <v>72</v>
      </c>
      <c r="P197" s="2">
        <v>561259408</v>
      </c>
      <c r="R197" s="2">
        <v>9900</v>
      </c>
      <c r="S197" s="4">
        <f t="shared" si="6"/>
        <v>14949</v>
      </c>
      <c r="T197" s="4">
        <v>-97</v>
      </c>
      <c r="U197" s="4">
        <f t="shared" si="7"/>
        <v>448.47</v>
      </c>
      <c r="V197" s="5">
        <v>0.699</v>
      </c>
      <c r="W197" s="2">
        <v>68</v>
      </c>
      <c r="AU197" s="3" t="s">
        <v>73</v>
      </c>
      <c r="AW197" s="2" t="s">
        <v>74</v>
      </c>
      <c r="AZ197" t="s">
        <v>697</v>
      </c>
      <c r="BB197" s="7" t="str">
        <f>HYPERLINK("https://v360.in/diamondview.aspx?cid=preet&amp;d=HN-130-5","https://v360.in/diamondview.aspx?cid=preet&amp;d=HN-130-5")</f>
        <v>https://v360.in/diamondview.aspx?cid=preet&amp;d=HN-130-5</v>
      </c>
    </row>
    <row r="198" ht="15.75" spans="1:54">
      <c r="A198" s="2" t="s">
        <v>698</v>
      </c>
      <c r="B198" s="3" t="s">
        <v>63</v>
      </c>
      <c r="C198" s="2" t="s">
        <v>613</v>
      </c>
      <c r="D198" s="2">
        <v>1.5</v>
      </c>
      <c r="E198" s="2" t="s">
        <v>63</v>
      </c>
      <c r="F198" s="2" t="s">
        <v>66</v>
      </c>
      <c r="G198" s="2" t="s">
        <v>67</v>
      </c>
      <c r="H198" s="2" t="s">
        <v>68</v>
      </c>
      <c r="I198" s="2" t="s">
        <v>68</v>
      </c>
      <c r="J198" s="2" t="s">
        <v>70</v>
      </c>
      <c r="L198" s="2" t="s">
        <v>699</v>
      </c>
      <c r="O198" t="s">
        <v>72</v>
      </c>
      <c r="P198" s="2">
        <v>570376237</v>
      </c>
      <c r="R198" s="2">
        <v>10400</v>
      </c>
      <c r="S198" s="4">
        <f t="shared" si="6"/>
        <v>15600</v>
      </c>
      <c r="T198" s="4">
        <v>-97</v>
      </c>
      <c r="U198" s="4">
        <f t="shared" si="7"/>
        <v>468</v>
      </c>
      <c r="V198" s="5">
        <v>0.696</v>
      </c>
      <c r="W198" s="5">
        <v>0.725</v>
      </c>
      <c r="AU198" s="3" t="s">
        <v>73</v>
      </c>
      <c r="AW198" s="2" t="s">
        <v>93</v>
      </c>
      <c r="AZ198" t="s">
        <v>700</v>
      </c>
      <c r="BB198" s="7" t="str">
        <f>HYPERLINK("https://v360.in/diamondview.aspx?cid=preet&amp;d=HN-142-37","https://v360.in/diamondview.aspx?cid=preet&amp;d=HN-142-37")</f>
        <v>https://v360.in/diamondview.aspx?cid=preet&amp;d=HN-142-37</v>
      </c>
    </row>
    <row r="199" ht="15.75" spans="1:54">
      <c r="A199" s="2" t="s">
        <v>701</v>
      </c>
      <c r="B199" s="3" t="s">
        <v>63</v>
      </c>
      <c r="C199" s="2" t="s">
        <v>613</v>
      </c>
      <c r="D199" s="2">
        <v>1.48</v>
      </c>
      <c r="E199" s="2" t="s">
        <v>65</v>
      </c>
      <c r="F199" s="2" t="s">
        <v>66</v>
      </c>
      <c r="G199" s="2" t="s">
        <v>67</v>
      </c>
      <c r="H199" s="2" t="s">
        <v>68</v>
      </c>
      <c r="I199" s="2" t="s">
        <v>68</v>
      </c>
      <c r="J199" s="2" t="s">
        <v>70</v>
      </c>
      <c r="L199" s="2" t="s">
        <v>702</v>
      </c>
      <c r="O199" t="s">
        <v>72</v>
      </c>
      <c r="P199" s="2">
        <v>553217213</v>
      </c>
      <c r="R199" s="2">
        <v>6900</v>
      </c>
      <c r="S199" s="4">
        <f t="shared" si="6"/>
        <v>10212</v>
      </c>
      <c r="T199" s="4">
        <v>-97</v>
      </c>
      <c r="U199" s="4">
        <f t="shared" si="7"/>
        <v>306.36</v>
      </c>
      <c r="V199" s="5">
        <v>0.672</v>
      </c>
      <c r="W199" s="6">
        <v>0.72</v>
      </c>
      <c r="AU199" s="3" t="s">
        <v>73</v>
      </c>
      <c r="AW199" s="2" t="s">
        <v>74</v>
      </c>
      <c r="AZ199" t="s">
        <v>703</v>
      </c>
      <c r="BB199" s="7" t="str">
        <f>HYPERLINK("https://v360.in/diamondview.aspx?cid=preet&amp;d=HN-127-13","https://v360.in/diamondview.aspx?cid=preet&amp;d=HN-127-13")</f>
        <v>https://v360.in/diamondview.aspx?cid=preet&amp;d=HN-127-13</v>
      </c>
    </row>
    <row r="200" ht="15.75" spans="1:54">
      <c r="A200" s="2" t="s">
        <v>704</v>
      </c>
      <c r="B200" s="3" t="s">
        <v>63</v>
      </c>
      <c r="C200" s="2" t="s">
        <v>613</v>
      </c>
      <c r="D200" s="2">
        <v>1.42</v>
      </c>
      <c r="E200" s="2" t="s">
        <v>119</v>
      </c>
      <c r="F200" s="2" t="s">
        <v>66</v>
      </c>
      <c r="G200" s="2" t="s">
        <v>67</v>
      </c>
      <c r="H200" s="2" t="s">
        <v>68</v>
      </c>
      <c r="I200" s="2" t="s">
        <v>68</v>
      </c>
      <c r="J200" s="2" t="s">
        <v>70</v>
      </c>
      <c r="L200" s="2" t="s">
        <v>705</v>
      </c>
      <c r="O200" t="s">
        <v>72</v>
      </c>
      <c r="P200" s="2">
        <v>559298586</v>
      </c>
      <c r="R200" s="2">
        <v>7200</v>
      </c>
      <c r="S200" s="4">
        <f t="shared" si="6"/>
        <v>10224</v>
      </c>
      <c r="T200" s="4">
        <v>-97</v>
      </c>
      <c r="U200" s="4">
        <f t="shared" si="7"/>
        <v>306.72</v>
      </c>
      <c r="V200" s="5">
        <v>0.675</v>
      </c>
      <c r="W200" s="2">
        <v>67</v>
      </c>
      <c r="AU200" s="3" t="s">
        <v>73</v>
      </c>
      <c r="AW200" s="2" t="s">
        <v>74</v>
      </c>
      <c r="AZ200" t="s">
        <v>706</v>
      </c>
      <c r="BB200" s="7" t="str">
        <f>HYPERLINK("https://v360.in/diamondview.aspx?cid=preet&amp;d=HN-129-8","https://v360.in/diamondview.aspx?cid=preet&amp;d=HN-129-8")</f>
        <v>https://v360.in/diamondview.aspx?cid=preet&amp;d=HN-129-8</v>
      </c>
    </row>
    <row r="201" ht="15.75" spans="1:54">
      <c r="A201" s="2" t="s">
        <v>707</v>
      </c>
      <c r="B201" s="3" t="s">
        <v>63</v>
      </c>
      <c r="C201" s="2" t="s">
        <v>613</v>
      </c>
      <c r="D201" s="2">
        <v>1.42</v>
      </c>
      <c r="E201" s="2" t="s">
        <v>65</v>
      </c>
      <c r="F201" s="2" t="s">
        <v>66</v>
      </c>
      <c r="G201" s="2" t="s">
        <v>67</v>
      </c>
      <c r="H201" s="2" t="s">
        <v>68</v>
      </c>
      <c r="I201" s="2" t="s">
        <v>68</v>
      </c>
      <c r="J201" s="2" t="s">
        <v>70</v>
      </c>
      <c r="L201" s="2" t="s">
        <v>708</v>
      </c>
      <c r="O201" t="s">
        <v>72</v>
      </c>
      <c r="P201" s="2">
        <v>561278587</v>
      </c>
      <c r="R201" s="2">
        <v>6900</v>
      </c>
      <c r="S201" s="4">
        <f t="shared" si="6"/>
        <v>9798</v>
      </c>
      <c r="T201" s="4">
        <v>-97</v>
      </c>
      <c r="U201" s="4">
        <f t="shared" si="7"/>
        <v>293.94</v>
      </c>
      <c r="V201" s="5">
        <v>0.683</v>
      </c>
      <c r="W201" s="2">
        <v>77</v>
      </c>
      <c r="AU201" s="3" t="s">
        <v>73</v>
      </c>
      <c r="AW201" s="2" t="s">
        <v>93</v>
      </c>
      <c r="AZ201" t="s">
        <v>709</v>
      </c>
      <c r="BB201" s="7" t="str">
        <f>HYPERLINK("https://v360.in/diamondview.aspx?cid=preet&amp;d=HN-129-93","https://v360.in/diamondview.aspx?cid=preet&amp;d=HN-129-93")</f>
        <v>https://v360.in/diamondview.aspx?cid=preet&amp;d=HN-129-93</v>
      </c>
    </row>
    <row r="202" ht="15.75" spans="1:54">
      <c r="A202" s="2" t="s">
        <v>710</v>
      </c>
      <c r="B202" s="3" t="s">
        <v>63</v>
      </c>
      <c r="C202" s="2" t="s">
        <v>613</v>
      </c>
      <c r="D202" s="2">
        <v>1.42</v>
      </c>
      <c r="E202" s="2" t="s">
        <v>65</v>
      </c>
      <c r="F202" s="2" t="s">
        <v>155</v>
      </c>
      <c r="G202" s="2" t="s">
        <v>67</v>
      </c>
      <c r="H202" s="2" t="s">
        <v>68</v>
      </c>
      <c r="I202" s="2" t="s">
        <v>68</v>
      </c>
      <c r="J202" s="2" t="s">
        <v>70</v>
      </c>
      <c r="L202" s="2" t="s">
        <v>711</v>
      </c>
      <c r="O202" t="s">
        <v>72</v>
      </c>
      <c r="P202" s="2">
        <v>553259903</v>
      </c>
      <c r="R202" s="2">
        <v>5700</v>
      </c>
      <c r="S202" s="4">
        <f t="shared" si="6"/>
        <v>8094</v>
      </c>
      <c r="T202" s="4">
        <v>-97</v>
      </c>
      <c r="U202" s="4">
        <f t="shared" si="7"/>
        <v>242.82</v>
      </c>
      <c r="V202" s="5">
        <v>0.726</v>
      </c>
      <c r="W202" s="6">
        <v>0.69</v>
      </c>
      <c r="AU202" s="3" t="s">
        <v>73</v>
      </c>
      <c r="AW202" s="2" t="s">
        <v>74</v>
      </c>
      <c r="AZ202" t="s">
        <v>712</v>
      </c>
      <c r="BB202" s="7" t="str">
        <f>HYPERLINK("https://v360.in/diamondview.aspx?cid=preet&amp;d=HN-128-40","https://v360.in/diamondview.aspx?cid=preet&amp;d=HN-128-40")</f>
        <v>https://v360.in/diamondview.aspx?cid=preet&amp;d=HN-128-40</v>
      </c>
    </row>
    <row r="203" ht="15.75" spans="1:54">
      <c r="A203" s="2" t="s">
        <v>713</v>
      </c>
      <c r="B203" s="3" t="s">
        <v>63</v>
      </c>
      <c r="C203" s="2" t="s">
        <v>613</v>
      </c>
      <c r="D203" s="2">
        <v>1.37</v>
      </c>
      <c r="E203" s="2" t="s">
        <v>119</v>
      </c>
      <c r="F203" s="2" t="s">
        <v>66</v>
      </c>
      <c r="G203" s="2" t="s">
        <v>67</v>
      </c>
      <c r="H203" s="2" t="s">
        <v>68</v>
      </c>
      <c r="I203" s="2" t="s">
        <v>68</v>
      </c>
      <c r="J203" s="2" t="s">
        <v>70</v>
      </c>
      <c r="L203" s="2" t="s">
        <v>714</v>
      </c>
      <c r="O203" t="s">
        <v>72</v>
      </c>
      <c r="P203" s="2">
        <v>561259407</v>
      </c>
      <c r="R203" s="2">
        <v>7200</v>
      </c>
      <c r="S203" s="4">
        <f t="shared" si="6"/>
        <v>9864</v>
      </c>
      <c r="T203" s="4">
        <v>-97</v>
      </c>
      <c r="U203" s="4">
        <f t="shared" si="7"/>
        <v>295.92</v>
      </c>
      <c r="V203" s="5">
        <v>0.731</v>
      </c>
      <c r="W203" s="5">
        <v>0.725</v>
      </c>
      <c r="AU203" s="3" t="s">
        <v>73</v>
      </c>
      <c r="AW203" s="2" t="s">
        <v>74</v>
      </c>
      <c r="AZ203" t="s">
        <v>715</v>
      </c>
      <c r="BB203" s="7" t="str">
        <f>HYPERLINK("https://v360.in/diamondview.aspx?cid=preet&amp;d=HN-130-22","https://v360.in/diamondview.aspx?cid=preet&amp;d=HN-130-22")</f>
        <v>https://v360.in/diamondview.aspx?cid=preet&amp;d=HN-130-22</v>
      </c>
    </row>
    <row r="204" ht="15.75" spans="1:54">
      <c r="A204" s="2" t="s">
        <v>716</v>
      </c>
      <c r="B204" s="3" t="s">
        <v>63</v>
      </c>
      <c r="C204" s="2" t="s">
        <v>613</v>
      </c>
      <c r="D204" s="2">
        <v>1.35</v>
      </c>
      <c r="E204" s="2" t="s">
        <v>65</v>
      </c>
      <c r="F204" s="2" t="s">
        <v>66</v>
      </c>
      <c r="G204" s="2" t="s">
        <v>67</v>
      </c>
      <c r="H204" s="2" t="s">
        <v>68</v>
      </c>
      <c r="I204" s="2" t="s">
        <v>68</v>
      </c>
      <c r="J204" s="2" t="s">
        <v>70</v>
      </c>
      <c r="L204" s="2" t="s">
        <v>717</v>
      </c>
      <c r="O204" t="s">
        <v>72</v>
      </c>
      <c r="P204" s="2">
        <v>561278599</v>
      </c>
      <c r="R204" s="2">
        <v>6900</v>
      </c>
      <c r="S204" s="4">
        <f t="shared" si="6"/>
        <v>9315</v>
      </c>
      <c r="T204" s="4">
        <v>-97</v>
      </c>
      <c r="U204" s="4">
        <f t="shared" si="7"/>
        <v>279.45</v>
      </c>
      <c r="V204" s="5">
        <v>0.698</v>
      </c>
      <c r="W204" s="5">
        <v>0.675</v>
      </c>
      <c r="AU204" s="3" t="s">
        <v>73</v>
      </c>
      <c r="AW204" s="2" t="s">
        <v>93</v>
      </c>
      <c r="AZ204" t="s">
        <v>718</v>
      </c>
      <c r="BB204" s="7" t="str">
        <f>HYPERLINK("https://v360.in/diamondview.aspx?cid=preet&amp;d=HN-130-6","https://v360.in/diamondview.aspx?cid=preet&amp;d=HN-130-6")</f>
        <v>https://v360.in/diamondview.aspx?cid=preet&amp;d=HN-130-6</v>
      </c>
    </row>
    <row r="205" ht="15.75" spans="1:54">
      <c r="A205" s="2" t="s">
        <v>719</v>
      </c>
      <c r="B205" s="3" t="s">
        <v>63</v>
      </c>
      <c r="C205" s="2" t="s">
        <v>613</v>
      </c>
      <c r="D205" s="2">
        <v>1.3</v>
      </c>
      <c r="E205" s="2" t="s">
        <v>119</v>
      </c>
      <c r="F205" s="2" t="s">
        <v>91</v>
      </c>
      <c r="G205" s="2" t="s">
        <v>67</v>
      </c>
      <c r="H205" s="2" t="s">
        <v>68</v>
      </c>
      <c r="I205" s="2" t="s">
        <v>68</v>
      </c>
      <c r="J205" s="2" t="s">
        <v>70</v>
      </c>
      <c r="L205" s="2" t="s">
        <v>720</v>
      </c>
      <c r="O205" t="s">
        <v>72</v>
      </c>
      <c r="P205" s="2">
        <v>553259906</v>
      </c>
      <c r="R205" s="2">
        <v>8000</v>
      </c>
      <c r="S205" s="4">
        <f t="shared" si="6"/>
        <v>10400</v>
      </c>
      <c r="T205" s="4">
        <v>-97</v>
      </c>
      <c r="U205" s="4">
        <f t="shared" si="7"/>
        <v>312</v>
      </c>
      <c r="V205" s="5">
        <v>0.724</v>
      </c>
      <c r="W205" s="5">
        <v>0.695</v>
      </c>
      <c r="AU205" s="3" t="s">
        <v>73</v>
      </c>
      <c r="AW205" s="2" t="s">
        <v>74</v>
      </c>
      <c r="AZ205" t="s">
        <v>721</v>
      </c>
      <c r="BB205" s="7" t="str">
        <f>HYPERLINK("https://v360.in/diamondview.aspx?cid=preet&amp;d=HN-127-25","https://v360.in/diamondview.aspx?cid=preet&amp;d=HN-127-25")</f>
        <v>https://v360.in/diamondview.aspx?cid=preet&amp;d=HN-127-25</v>
      </c>
    </row>
    <row r="206" ht="15.75" spans="1:54">
      <c r="A206" s="2" t="s">
        <v>722</v>
      </c>
      <c r="B206" s="3" t="s">
        <v>63</v>
      </c>
      <c r="C206" s="2" t="s">
        <v>613</v>
      </c>
      <c r="D206" s="2">
        <v>1.24</v>
      </c>
      <c r="E206" s="2" t="s">
        <v>63</v>
      </c>
      <c r="F206" s="2" t="s">
        <v>66</v>
      </c>
      <c r="G206" s="2" t="s">
        <v>67</v>
      </c>
      <c r="H206" s="2" t="s">
        <v>68</v>
      </c>
      <c r="I206" s="2" t="s">
        <v>68</v>
      </c>
      <c r="J206" s="2" t="s">
        <v>70</v>
      </c>
      <c r="L206" s="2" t="s">
        <v>723</v>
      </c>
      <c r="O206" t="s">
        <v>72</v>
      </c>
      <c r="P206" s="2">
        <v>553217216</v>
      </c>
      <c r="R206" s="2">
        <v>6600</v>
      </c>
      <c r="S206" s="4">
        <f t="shared" si="6"/>
        <v>8184</v>
      </c>
      <c r="T206" s="4">
        <v>-97</v>
      </c>
      <c r="U206" s="4">
        <f t="shared" si="7"/>
        <v>245.52</v>
      </c>
      <c r="V206" s="5">
        <v>0.707</v>
      </c>
      <c r="W206" s="5">
        <v>0.685</v>
      </c>
      <c r="AU206" s="3" t="s">
        <v>73</v>
      </c>
      <c r="AW206" s="2" t="s">
        <v>74</v>
      </c>
      <c r="AZ206" t="s">
        <v>724</v>
      </c>
      <c r="BB206" s="7" t="str">
        <f>HYPERLINK("https://v360.in/diamondview.aspx?cid=preet&amp;d=HN-127-38","https://v360.in/diamondview.aspx?cid=preet&amp;d=HN-127-38")</f>
        <v>https://v360.in/diamondview.aspx?cid=preet&amp;d=HN-127-38</v>
      </c>
    </row>
    <row r="207" ht="15.75" spans="1:54">
      <c r="A207" s="2" t="s">
        <v>725</v>
      </c>
      <c r="B207" s="3" t="s">
        <v>63</v>
      </c>
      <c r="C207" s="2" t="s">
        <v>613</v>
      </c>
      <c r="D207" s="2">
        <v>1.21</v>
      </c>
      <c r="E207" s="2" t="s">
        <v>119</v>
      </c>
      <c r="F207" s="2" t="s">
        <v>143</v>
      </c>
      <c r="G207" s="2" t="s">
        <v>67</v>
      </c>
      <c r="H207" s="2" t="s">
        <v>68</v>
      </c>
      <c r="I207" s="2" t="s">
        <v>68</v>
      </c>
      <c r="J207" s="2" t="s">
        <v>70</v>
      </c>
      <c r="L207" s="2" t="s">
        <v>726</v>
      </c>
      <c r="O207" t="s">
        <v>72</v>
      </c>
      <c r="P207" s="2">
        <v>560231300</v>
      </c>
      <c r="R207" s="2">
        <v>8700</v>
      </c>
      <c r="S207" s="4">
        <f t="shared" si="6"/>
        <v>10527</v>
      </c>
      <c r="T207" s="4">
        <v>-97</v>
      </c>
      <c r="U207" s="4">
        <f t="shared" si="7"/>
        <v>315.81</v>
      </c>
      <c r="V207" s="5">
        <v>0.735</v>
      </c>
      <c r="W207" s="5">
        <v>0.675</v>
      </c>
      <c r="AU207" s="3" t="s">
        <v>73</v>
      </c>
      <c r="AW207" s="2" t="s">
        <v>74</v>
      </c>
      <c r="AZ207" t="s">
        <v>727</v>
      </c>
      <c r="BB207" s="7" t="str">
        <f>HYPERLINK("https://v360.in/diamondview.aspx?cid=preet&amp;d=HN-130-40","https://v360.in/diamondview.aspx?cid=preet&amp;d=HN-130-40")</f>
        <v>https://v360.in/diamondview.aspx?cid=preet&amp;d=HN-130-40</v>
      </c>
    </row>
    <row r="208" ht="15.75" spans="1:54">
      <c r="A208" s="2" t="s">
        <v>728</v>
      </c>
      <c r="B208" s="3" t="s">
        <v>63</v>
      </c>
      <c r="C208" s="2" t="s">
        <v>613</v>
      </c>
      <c r="D208" s="2">
        <v>1.2</v>
      </c>
      <c r="E208" s="2" t="s">
        <v>65</v>
      </c>
      <c r="F208" s="2" t="s">
        <v>143</v>
      </c>
      <c r="G208" s="2" t="s">
        <v>67</v>
      </c>
      <c r="H208" s="2" t="s">
        <v>68</v>
      </c>
      <c r="I208" s="2" t="s">
        <v>68</v>
      </c>
      <c r="J208" s="2" t="s">
        <v>70</v>
      </c>
      <c r="L208" s="2" t="s">
        <v>729</v>
      </c>
      <c r="O208" t="s">
        <v>72</v>
      </c>
      <c r="P208" s="2">
        <v>551214585</v>
      </c>
      <c r="R208" s="2">
        <v>8000</v>
      </c>
      <c r="S208" s="4">
        <f t="shared" si="6"/>
        <v>9600</v>
      </c>
      <c r="T208" s="4">
        <v>-97</v>
      </c>
      <c r="U208" s="4">
        <f t="shared" si="7"/>
        <v>288</v>
      </c>
      <c r="V208" s="6">
        <v>0.74</v>
      </c>
      <c r="W208" s="6">
        <v>0.68</v>
      </c>
      <c r="AU208" s="3" t="s">
        <v>73</v>
      </c>
      <c r="AW208" s="2" t="s">
        <v>74</v>
      </c>
      <c r="AZ208" t="s">
        <v>730</v>
      </c>
      <c r="BB208" s="7" t="str">
        <f>HYPERLINK("https://v360.in/diamondview.aspx?cid=preet&amp;d=HN-128-33","https://v360.in/diamondview.aspx?cid=preet&amp;d=HN-128-33")</f>
        <v>https://v360.in/diamondview.aspx?cid=preet&amp;d=HN-128-33</v>
      </c>
    </row>
    <row r="209" ht="15.75" spans="1:54">
      <c r="A209" s="2" t="s">
        <v>731</v>
      </c>
      <c r="B209" s="3" t="s">
        <v>63</v>
      </c>
      <c r="C209" s="2" t="s">
        <v>613</v>
      </c>
      <c r="D209" s="2">
        <v>1.2</v>
      </c>
      <c r="E209" s="2" t="s">
        <v>63</v>
      </c>
      <c r="F209" s="2" t="s">
        <v>91</v>
      </c>
      <c r="G209" s="2" t="s">
        <v>67</v>
      </c>
      <c r="H209" s="2" t="s">
        <v>68</v>
      </c>
      <c r="I209" s="2" t="s">
        <v>68</v>
      </c>
      <c r="J209" s="2" t="s">
        <v>70</v>
      </c>
      <c r="L209" s="2" t="s">
        <v>732</v>
      </c>
      <c r="O209" t="s">
        <v>72</v>
      </c>
      <c r="P209" s="2">
        <v>570376200</v>
      </c>
      <c r="R209" s="2">
        <v>7000</v>
      </c>
      <c r="S209" s="4">
        <f t="shared" si="6"/>
        <v>8400</v>
      </c>
      <c r="T209" s="4">
        <v>-97</v>
      </c>
      <c r="U209" s="4">
        <f t="shared" si="7"/>
        <v>252</v>
      </c>
      <c r="V209" s="5">
        <v>0.681</v>
      </c>
      <c r="W209" s="5">
        <v>0.775</v>
      </c>
      <c r="AU209" s="3" t="s">
        <v>73</v>
      </c>
      <c r="AW209" s="2" t="s">
        <v>93</v>
      </c>
      <c r="AZ209" t="s">
        <v>733</v>
      </c>
      <c r="BB209" s="7" t="str">
        <f>HYPERLINK("https://v360.in/diamondview.aspx?cid=preet&amp;d=HN-148-31","https://v360.in/diamondview.aspx?cid=preet&amp;d=HN-148-31")</f>
        <v>https://v360.in/diamondview.aspx?cid=preet&amp;d=HN-148-31</v>
      </c>
    </row>
    <row r="210" ht="15.75" spans="1:54">
      <c r="A210" s="2" t="s">
        <v>734</v>
      </c>
      <c r="B210" s="3" t="s">
        <v>63</v>
      </c>
      <c r="C210" s="2" t="s">
        <v>613</v>
      </c>
      <c r="D210" s="2">
        <v>1.2</v>
      </c>
      <c r="E210" s="2" t="s">
        <v>63</v>
      </c>
      <c r="F210" s="2" t="s">
        <v>91</v>
      </c>
      <c r="G210" s="2" t="s">
        <v>67</v>
      </c>
      <c r="H210" s="2" t="s">
        <v>68</v>
      </c>
      <c r="I210" s="2" t="s">
        <v>68</v>
      </c>
      <c r="J210" s="2" t="s">
        <v>70</v>
      </c>
      <c r="L210" s="2" t="s">
        <v>735</v>
      </c>
      <c r="O210" t="s">
        <v>72</v>
      </c>
      <c r="P210" s="2">
        <v>561278581</v>
      </c>
      <c r="R210" s="2">
        <v>7000</v>
      </c>
      <c r="S210" s="4">
        <f t="shared" si="6"/>
        <v>8400</v>
      </c>
      <c r="T210" s="4">
        <v>-97</v>
      </c>
      <c r="U210" s="4">
        <f t="shared" si="7"/>
        <v>252</v>
      </c>
      <c r="V210" s="5">
        <v>0.721</v>
      </c>
      <c r="W210" s="2">
        <v>71</v>
      </c>
      <c r="AU210" s="3" t="s">
        <v>73</v>
      </c>
      <c r="AW210" s="2" t="s">
        <v>93</v>
      </c>
      <c r="AZ210" t="s">
        <v>736</v>
      </c>
      <c r="BB210" s="7" t="str">
        <f>HYPERLINK("https://v360.in/diamondview.aspx?cid=preet&amp;d=HN-130-13","https://v360.in/diamondview.aspx?cid=preet&amp;d=HN-130-13")</f>
        <v>https://v360.in/diamondview.aspx?cid=preet&amp;d=HN-130-13</v>
      </c>
    </row>
    <row r="211" ht="15.75" spans="1:54">
      <c r="A211" s="2" t="s">
        <v>737</v>
      </c>
      <c r="B211" s="3" t="s">
        <v>63</v>
      </c>
      <c r="C211" s="2" t="s">
        <v>613</v>
      </c>
      <c r="D211" s="2">
        <v>1.18</v>
      </c>
      <c r="E211" s="2" t="s">
        <v>63</v>
      </c>
      <c r="F211" s="2" t="s">
        <v>66</v>
      </c>
      <c r="G211" s="2" t="s">
        <v>67</v>
      </c>
      <c r="H211" s="2" t="s">
        <v>68</v>
      </c>
      <c r="I211" s="2" t="s">
        <v>68</v>
      </c>
      <c r="J211" s="2" t="s">
        <v>70</v>
      </c>
      <c r="L211" s="2" t="s">
        <v>738</v>
      </c>
      <c r="O211" t="s">
        <v>72</v>
      </c>
      <c r="P211" s="2">
        <v>559298600</v>
      </c>
      <c r="R211" s="2">
        <v>6600</v>
      </c>
      <c r="S211" s="4">
        <f t="shared" si="6"/>
        <v>7788</v>
      </c>
      <c r="T211" s="4">
        <v>-97</v>
      </c>
      <c r="U211" s="4">
        <f t="shared" si="7"/>
        <v>233.64</v>
      </c>
      <c r="V211" s="5">
        <v>0.707</v>
      </c>
      <c r="W211" s="5">
        <v>0.645</v>
      </c>
      <c r="AU211" s="3" t="s">
        <v>73</v>
      </c>
      <c r="AW211" s="2" t="s">
        <v>74</v>
      </c>
      <c r="AZ211" t="s">
        <v>739</v>
      </c>
      <c r="BB211" s="7" t="str">
        <f>HYPERLINK("https://v360.in/diamondview.aspx?cid=preet&amp;d=HN-129-43","https://v360.in/diamondview.aspx?cid=preet&amp;d=HN-129-43")</f>
        <v>https://v360.in/diamondview.aspx?cid=preet&amp;d=HN-129-43</v>
      </c>
    </row>
    <row r="212" ht="15.75" spans="1:54">
      <c r="A212" s="2" t="s">
        <v>740</v>
      </c>
      <c r="B212" s="3" t="s">
        <v>63</v>
      </c>
      <c r="C212" s="2" t="s">
        <v>613</v>
      </c>
      <c r="D212" s="2">
        <v>1.14</v>
      </c>
      <c r="E212" s="2" t="s">
        <v>119</v>
      </c>
      <c r="F212" s="2" t="s">
        <v>91</v>
      </c>
      <c r="G212" s="2" t="s">
        <v>67</v>
      </c>
      <c r="H212" s="2" t="s">
        <v>68</v>
      </c>
      <c r="I212" s="2" t="s">
        <v>68</v>
      </c>
      <c r="J212" s="2" t="s">
        <v>70</v>
      </c>
      <c r="L212" s="2" t="s">
        <v>741</v>
      </c>
      <c r="O212" t="s">
        <v>72</v>
      </c>
      <c r="P212" s="2">
        <v>553217188</v>
      </c>
      <c r="R212" s="2">
        <v>8000</v>
      </c>
      <c r="S212" s="4">
        <f t="shared" si="6"/>
        <v>9120</v>
      </c>
      <c r="T212" s="4">
        <v>-97</v>
      </c>
      <c r="U212" s="4">
        <f t="shared" si="7"/>
        <v>273.6</v>
      </c>
      <c r="V212" s="5">
        <v>0.728</v>
      </c>
      <c r="W212" s="5">
        <v>0.675</v>
      </c>
      <c r="AU212" s="3" t="s">
        <v>73</v>
      </c>
      <c r="AW212" s="2" t="s">
        <v>74</v>
      </c>
      <c r="AZ212" t="s">
        <v>742</v>
      </c>
      <c r="BB212" s="7" t="str">
        <f>HYPERLINK("https://v360.in/diamondview.aspx?cid=preet&amp;d=HN-128-43","https://v360.in/diamondview.aspx?cid=preet&amp;d=HN-128-43")</f>
        <v>https://v360.in/diamondview.aspx?cid=preet&amp;d=HN-128-43</v>
      </c>
    </row>
    <row r="213" ht="15.75" spans="1:54">
      <c r="A213" s="2" t="s">
        <v>743</v>
      </c>
      <c r="B213" s="3" t="s">
        <v>63</v>
      </c>
      <c r="C213" s="2" t="s">
        <v>613</v>
      </c>
      <c r="D213" s="2">
        <v>1.13</v>
      </c>
      <c r="E213" s="2" t="s">
        <v>63</v>
      </c>
      <c r="F213" s="2" t="s">
        <v>91</v>
      </c>
      <c r="G213" s="2" t="s">
        <v>67</v>
      </c>
      <c r="H213" s="2" t="s">
        <v>68</v>
      </c>
      <c r="I213" s="2" t="s">
        <v>68</v>
      </c>
      <c r="J213" s="2" t="s">
        <v>70</v>
      </c>
      <c r="L213" s="2" t="s">
        <v>744</v>
      </c>
      <c r="O213" t="s">
        <v>72</v>
      </c>
      <c r="P213" s="2">
        <v>547248645</v>
      </c>
      <c r="R213" s="2">
        <v>7000</v>
      </c>
      <c r="S213" s="4">
        <f t="shared" si="6"/>
        <v>7910</v>
      </c>
      <c r="T213" s="4">
        <v>-97</v>
      </c>
      <c r="U213" s="4">
        <f t="shared" si="7"/>
        <v>237.3</v>
      </c>
      <c r="V213" s="5">
        <v>0.689</v>
      </c>
      <c r="W213" s="5">
        <v>0.735</v>
      </c>
      <c r="AU213" s="3" t="s">
        <v>73</v>
      </c>
      <c r="AW213" s="2" t="s">
        <v>74</v>
      </c>
      <c r="AZ213" t="s">
        <v>745</v>
      </c>
      <c r="BB213" s="7" t="str">
        <f>HYPERLINK("https://v360.in/diamondview.aspx?cid=meet&amp;d=HN-86-141","https://v360.in/diamondview.aspx?cid=meet&amp;d=HN-86-141")</f>
        <v>https://v360.in/diamondview.aspx?cid=meet&amp;d=HN-86-141</v>
      </c>
    </row>
    <row r="214" ht="15.75" spans="1:54">
      <c r="A214" s="2" t="s">
        <v>746</v>
      </c>
      <c r="B214" s="3" t="s">
        <v>63</v>
      </c>
      <c r="C214" s="2" t="s">
        <v>613</v>
      </c>
      <c r="D214" s="2">
        <v>1.12</v>
      </c>
      <c r="E214" s="2" t="s">
        <v>65</v>
      </c>
      <c r="F214" s="2" t="s">
        <v>91</v>
      </c>
      <c r="G214" s="2" t="s">
        <v>67</v>
      </c>
      <c r="H214" s="2" t="s">
        <v>68</v>
      </c>
      <c r="I214" s="2" t="s">
        <v>68</v>
      </c>
      <c r="J214" s="2" t="s">
        <v>70</v>
      </c>
      <c r="L214" s="2" t="s">
        <v>747</v>
      </c>
      <c r="O214" t="s">
        <v>72</v>
      </c>
      <c r="P214" s="2">
        <v>553219379</v>
      </c>
      <c r="R214" s="2">
        <v>7500</v>
      </c>
      <c r="S214" s="4">
        <f t="shared" si="6"/>
        <v>8400</v>
      </c>
      <c r="T214" s="4">
        <v>-97</v>
      </c>
      <c r="U214" s="4">
        <f t="shared" si="7"/>
        <v>252</v>
      </c>
      <c r="V214" s="5">
        <v>0.738</v>
      </c>
      <c r="W214" s="5">
        <v>0.705</v>
      </c>
      <c r="AU214" s="3" t="s">
        <v>73</v>
      </c>
      <c r="AW214" s="2" t="s">
        <v>74</v>
      </c>
      <c r="AZ214" t="s">
        <v>748</v>
      </c>
      <c r="BB214" s="7" t="str">
        <f>HYPERLINK("https://v360.in/diamondview.aspx?cid=preet&amp;d=HN-127-32","https://v360.in/diamondview.aspx?cid=preet&amp;d=HN-127-32")</f>
        <v>https://v360.in/diamondview.aspx?cid=preet&amp;d=HN-127-32</v>
      </c>
    </row>
    <row r="215" ht="15.75" spans="1:54">
      <c r="A215" s="2" t="s">
        <v>749</v>
      </c>
      <c r="B215" s="3" t="s">
        <v>63</v>
      </c>
      <c r="C215" s="2" t="s">
        <v>613</v>
      </c>
      <c r="D215" s="2">
        <v>1.1</v>
      </c>
      <c r="E215" s="2" t="s">
        <v>65</v>
      </c>
      <c r="F215" s="2" t="s">
        <v>91</v>
      </c>
      <c r="G215" s="2" t="s">
        <v>67</v>
      </c>
      <c r="H215" s="2" t="s">
        <v>68</v>
      </c>
      <c r="I215" s="2" t="s">
        <v>68</v>
      </c>
      <c r="J215" s="2" t="s">
        <v>70</v>
      </c>
      <c r="L215" s="2" t="s">
        <v>750</v>
      </c>
      <c r="O215" t="s">
        <v>72</v>
      </c>
      <c r="P215" s="2">
        <v>563201920</v>
      </c>
      <c r="R215" s="2">
        <v>7500</v>
      </c>
      <c r="S215" s="4">
        <f t="shared" si="6"/>
        <v>8250</v>
      </c>
      <c r="T215" s="4">
        <v>-97</v>
      </c>
      <c r="U215" s="4">
        <f t="shared" si="7"/>
        <v>247.5</v>
      </c>
      <c r="V215" s="5">
        <v>0.685</v>
      </c>
      <c r="W215" s="6">
        <v>0.78</v>
      </c>
      <c r="AU215" s="3" t="s">
        <v>73</v>
      </c>
      <c r="AW215" s="2" t="s">
        <v>93</v>
      </c>
      <c r="AZ215" t="s">
        <v>751</v>
      </c>
      <c r="BB215" s="7" t="str">
        <f>HYPERLINK("https://v360.in/diamondview.aspx?cid=preet&amp;d=HN-134-26","https://v360.in/diamondview.aspx?cid=preet&amp;d=HN-134-26")</f>
        <v>https://v360.in/diamondview.aspx?cid=preet&amp;d=HN-134-26</v>
      </c>
    </row>
    <row r="216" ht="15.75" spans="1:54">
      <c r="A216" s="2" t="s">
        <v>752</v>
      </c>
      <c r="B216" s="3" t="s">
        <v>63</v>
      </c>
      <c r="C216" s="2" t="s">
        <v>613</v>
      </c>
      <c r="D216" s="2">
        <v>1.1</v>
      </c>
      <c r="E216" s="2" t="s">
        <v>63</v>
      </c>
      <c r="F216" s="2" t="s">
        <v>91</v>
      </c>
      <c r="G216" s="2" t="s">
        <v>67</v>
      </c>
      <c r="H216" s="2" t="s">
        <v>68</v>
      </c>
      <c r="I216" s="2" t="s">
        <v>68</v>
      </c>
      <c r="J216" s="2" t="s">
        <v>70</v>
      </c>
      <c r="L216" s="2" t="s">
        <v>753</v>
      </c>
      <c r="O216" t="s">
        <v>72</v>
      </c>
      <c r="P216" s="2">
        <v>571301031</v>
      </c>
      <c r="R216" s="2">
        <v>7000</v>
      </c>
      <c r="S216" s="4">
        <f t="shared" si="6"/>
        <v>7700</v>
      </c>
      <c r="T216" s="4">
        <v>-97</v>
      </c>
      <c r="U216" s="4">
        <f t="shared" si="7"/>
        <v>231</v>
      </c>
      <c r="V216" s="5">
        <v>0.713</v>
      </c>
      <c r="W216" s="5">
        <v>0.705</v>
      </c>
      <c r="AU216" s="3" t="s">
        <v>73</v>
      </c>
      <c r="AW216" s="2" t="s">
        <v>93</v>
      </c>
      <c r="AZ216" t="s">
        <v>754</v>
      </c>
      <c r="BB216" s="7" t="str">
        <f>HYPERLINK("https://v360.in/diamondview.aspx?cid=preet&amp;d=HN-141-23","https://v360.in/diamondview.aspx?cid=preet&amp;d=HN-141-23")</f>
        <v>https://v360.in/diamondview.aspx?cid=preet&amp;d=HN-141-23</v>
      </c>
    </row>
    <row r="217" ht="15.75" spans="1:54">
      <c r="A217" s="2" t="s">
        <v>755</v>
      </c>
      <c r="B217" s="3" t="s">
        <v>63</v>
      </c>
      <c r="C217" s="2" t="s">
        <v>613</v>
      </c>
      <c r="D217" s="2">
        <v>1.09</v>
      </c>
      <c r="E217" s="2" t="s">
        <v>119</v>
      </c>
      <c r="F217" s="2" t="s">
        <v>91</v>
      </c>
      <c r="G217" s="2" t="s">
        <v>67</v>
      </c>
      <c r="H217" s="2" t="s">
        <v>68</v>
      </c>
      <c r="I217" s="2" t="s">
        <v>68</v>
      </c>
      <c r="J217" s="2" t="s">
        <v>70</v>
      </c>
      <c r="L217" s="2" t="s">
        <v>756</v>
      </c>
      <c r="O217" t="s">
        <v>72</v>
      </c>
      <c r="P217" s="2">
        <v>560231284</v>
      </c>
      <c r="R217" s="2">
        <v>8000</v>
      </c>
      <c r="S217" s="4">
        <f t="shared" si="6"/>
        <v>8720</v>
      </c>
      <c r="T217" s="4">
        <v>-97</v>
      </c>
      <c r="U217" s="4">
        <f t="shared" si="7"/>
        <v>261.6</v>
      </c>
      <c r="V217" s="5">
        <v>0.733</v>
      </c>
      <c r="W217" s="5">
        <v>0.675</v>
      </c>
      <c r="AU217" s="3" t="s">
        <v>73</v>
      </c>
      <c r="AW217" s="2" t="s">
        <v>74</v>
      </c>
      <c r="AZ217" t="s">
        <v>757</v>
      </c>
      <c r="BB217" s="7" t="str">
        <f>HYPERLINK("https://v360.in/diamondview.aspx?cid=preet&amp;d=HN-130-34","https://v360.in/diamondview.aspx?cid=preet&amp;d=HN-130-34")</f>
        <v>https://v360.in/diamondview.aspx?cid=preet&amp;d=HN-130-34</v>
      </c>
    </row>
    <row r="218" ht="15.75" spans="1:54">
      <c r="A218" s="2" t="s">
        <v>758</v>
      </c>
      <c r="B218" s="3" t="s">
        <v>63</v>
      </c>
      <c r="C218" s="2" t="s">
        <v>613</v>
      </c>
      <c r="D218" s="2">
        <v>1.09</v>
      </c>
      <c r="E218" s="2" t="s">
        <v>63</v>
      </c>
      <c r="F218" s="2" t="s">
        <v>91</v>
      </c>
      <c r="G218" s="2" t="s">
        <v>67</v>
      </c>
      <c r="H218" s="2" t="s">
        <v>68</v>
      </c>
      <c r="I218" s="2" t="s">
        <v>68</v>
      </c>
      <c r="J218" s="2" t="s">
        <v>70</v>
      </c>
      <c r="L218" s="2" t="s">
        <v>759</v>
      </c>
      <c r="O218" t="s">
        <v>72</v>
      </c>
      <c r="P218" s="2">
        <v>563201923</v>
      </c>
      <c r="R218" s="2">
        <v>7000</v>
      </c>
      <c r="S218" s="4">
        <f t="shared" si="6"/>
        <v>7630</v>
      </c>
      <c r="T218" s="4">
        <v>-97</v>
      </c>
      <c r="U218" s="4">
        <f t="shared" si="7"/>
        <v>228.9</v>
      </c>
      <c r="V218" s="5">
        <v>0.732</v>
      </c>
      <c r="W218" s="5">
        <v>0.785</v>
      </c>
      <c r="AU218" s="3" t="s">
        <v>73</v>
      </c>
      <c r="AW218" s="2" t="s">
        <v>93</v>
      </c>
      <c r="AZ218" t="s">
        <v>760</v>
      </c>
      <c r="BB218" s="7" t="str">
        <f>HYPERLINK("https://v360.in/diamondview.aspx?cid=preet&amp;d=HN-134-87","https://v360.in/diamondview.aspx?cid=preet&amp;d=HN-134-87")</f>
        <v>https://v360.in/diamondview.aspx?cid=preet&amp;d=HN-134-87</v>
      </c>
    </row>
    <row r="219" ht="15.75" spans="1:54">
      <c r="A219" s="2" t="s">
        <v>761</v>
      </c>
      <c r="B219" s="3" t="s">
        <v>63</v>
      </c>
      <c r="C219" s="2" t="s">
        <v>613</v>
      </c>
      <c r="D219" s="2">
        <v>1.08</v>
      </c>
      <c r="E219" s="2" t="s">
        <v>65</v>
      </c>
      <c r="F219" s="2" t="s">
        <v>66</v>
      </c>
      <c r="G219" s="2" t="s">
        <v>67</v>
      </c>
      <c r="H219" s="2" t="s">
        <v>68</v>
      </c>
      <c r="I219" s="2" t="s">
        <v>68</v>
      </c>
      <c r="J219" s="2" t="s">
        <v>70</v>
      </c>
      <c r="L219" s="2" t="s">
        <v>762</v>
      </c>
      <c r="O219" t="s">
        <v>72</v>
      </c>
      <c r="P219" s="2">
        <v>553259837</v>
      </c>
      <c r="R219" s="2">
        <v>6900</v>
      </c>
      <c r="S219" s="4">
        <f t="shared" si="6"/>
        <v>7452</v>
      </c>
      <c r="T219" s="4">
        <v>-97</v>
      </c>
      <c r="U219" s="4">
        <f t="shared" si="7"/>
        <v>223.56</v>
      </c>
      <c r="V219" s="5">
        <v>0.736</v>
      </c>
      <c r="W219" s="6">
        <v>0.72</v>
      </c>
      <c r="AU219" s="3" t="s">
        <v>73</v>
      </c>
      <c r="AW219" s="2" t="s">
        <v>74</v>
      </c>
      <c r="AZ219" t="s">
        <v>763</v>
      </c>
      <c r="BB219" s="7" t="str">
        <f>HYPERLINK("https://v360.in/diamondview.aspx?cid=preet&amp;d=HN-128-37","https://v360.in/diamondview.aspx?cid=preet&amp;d=HN-128-37")</f>
        <v>https://v360.in/diamondview.aspx?cid=preet&amp;d=HN-128-37</v>
      </c>
    </row>
    <row r="220" ht="15.75" spans="1:54">
      <c r="A220" s="2" t="s">
        <v>764</v>
      </c>
      <c r="B220" s="3" t="s">
        <v>63</v>
      </c>
      <c r="C220" s="2" t="s">
        <v>613</v>
      </c>
      <c r="D220" s="2">
        <v>1.08</v>
      </c>
      <c r="E220" s="2" t="s">
        <v>63</v>
      </c>
      <c r="F220" s="2" t="s">
        <v>91</v>
      </c>
      <c r="G220" s="2" t="s">
        <v>67</v>
      </c>
      <c r="H220" s="2" t="s">
        <v>68</v>
      </c>
      <c r="I220" s="2" t="s">
        <v>68</v>
      </c>
      <c r="J220" s="2" t="s">
        <v>70</v>
      </c>
      <c r="L220" s="2" t="s">
        <v>765</v>
      </c>
      <c r="O220" t="s">
        <v>72</v>
      </c>
      <c r="P220" s="2">
        <v>566310895</v>
      </c>
      <c r="R220" s="2">
        <v>7000</v>
      </c>
      <c r="S220" s="4">
        <f t="shared" si="6"/>
        <v>7560</v>
      </c>
      <c r="T220" s="4">
        <v>-97</v>
      </c>
      <c r="U220" s="4">
        <f t="shared" si="7"/>
        <v>226.8</v>
      </c>
      <c r="V220" s="5">
        <v>0.735</v>
      </c>
      <c r="W220" s="6">
        <v>0.69</v>
      </c>
      <c r="AU220" s="3" t="s">
        <v>73</v>
      </c>
      <c r="AW220" s="2" t="s">
        <v>93</v>
      </c>
      <c r="AZ220" t="s">
        <v>766</v>
      </c>
      <c r="BB220" s="7" t="str">
        <f>HYPERLINK("https://v360.in/diamondview.aspx?cid=preet&amp;d=HN-135-25","https://v360.in/diamondview.aspx?cid=preet&amp;d=HN-135-25")</f>
        <v>https://v360.in/diamondview.aspx?cid=preet&amp;d=HN-135-25</v>
      </c>
    </row>
    <row r="221" ht="15.75" spans="1:54">
      <c r="A221" s="2" t="s">
        <v>767</v>
      </c>
      <c r="B221" s="3" t="s">
        <v>63</v>
      </c>
      <c r="C221" s="2" t="s">
        <v>613</v>
      </c>
      <c r="D221" s="2">
        <v>1.08</v>
      </c>
      <c r="E221" s="2" t="s">
        <v>63</v>
      </c>
      <c r="F221" s="2" t="s">
        <v>91</v>
      </c>
      <c r="G221" s="2" t="s">
        <v>67</v>
      </c>
      <c r="H221" s="2" t="s">
        <v>68</v>
      </c>
      <c r="I221" s="2" t="s">
        <v>68</v>
      </c>
      <c r="J221" s="2" t="s">
        <v>70</v>
      </c>
      <c r="L221" s="2" t="s">
        <v>768</v>
      </c>
      <c r="O221" t="s">
        <v>72</v>
      </c>
      <c r="P221" s="2">
        <v>571301043</v>
      </c>
      <c r="R221" s="2">
        <v>7000</v>
      </c>
      <c r="S221" s="4">
        <f t="shared" si="6"/>
        <v>7560</v>
      </c>
      <c r="T221" s="4">
        <v>-97</v>
      </c>
      <c r="U221" s="4">
        <f t="shared" si="7"/>
        <v>226.8</v>
      </c>
      <c r="V221" s="5">
        <v>0.698</v>
      </c>
      <c r="W221" s="6">
        <v>0.73</v>
      </c>
      <c r="AU221" s="3" t="s">
        <v>73</v>
      </c>
      <c r="AW221" s="2" t="s">
        <v>93</v>
      </c>
      <c r="AZ221" t="s">
        <v>769</v>
      </c>
      <c r="BB221" s="7" t="str">
        <f>HYPERLINK("https://v360.in/diamondview.aspx?cid=preet&amp;d=HN-141-42","https://v360.in/diamondview.aspx?cid=preet&amp;d=HN-141-42")</f>
        <v>https://v360.in/diamondview.aspx?cid=preet&amp;d=HN-141-42</v>
      </c>
    </row>
    <row r="222" ht="15.75" spans="1:54">
      <c r="A222" s="2" t="s">
        <v>770</v>
      </c>
      <c r="B222" s="3" t="s">
        <v>63</v>
      </c>
      <c r="C222" s="2" t="s">
        <v>613</v>
      </c>
      <c r="D222" s="2">
        <v>1.06</v>
      </c>
      <c r="E222" s="2" t="s">
        <v>119</v>
      </c>
      <c r="F222" s="2" t="s">
        <v>66</v>
      </c>
      <c r="G222" s="2" t="s">
        <v>67</v>
      </c>
      <c r="H222" s="2" t="s">
        <v>68</v>
      </c>
      <c r="I222" s="2" t="s">
        <v>68</v>
      </c>
      <c r="J222" s="2" t="s">
        <v>70</v>
      </c>
      <c r="L222" s="2" t="s">
        <v>771</v>
      </c>
      <c r="O222" t="s">
        <v>72</v>
      </c>
      <c r="P222" s="2">
        <v>560231265</v>
      </c>
      <c r="R222" s="2">
        <v>7200</v>
      </c>
      <c r="S222" s="4">
        <f t="shared" si="6"/>
        <v>7632</v>
      </c>
      <c r="T222" s="4">
        <v>-97</v>
      </c>
      <c r="U222" s="4">
        <f t="shared" si="7"/>
        <v>228.96</v>
      </c>
      <c r="V222" s="5">
        <v>0.736</v>
      </c>
      <c r="W222" s="2">
        <v>68</v>
      </c>
      <c r="AU222" s="3" t="s">
        <v>73</v>
      </c>
      <c r="AW222" s="2" t="s">
        <v>74</v>
      </c>
      <c r="AZ222" t="s">
        <v>772</v>
      </c>
      <c r="BB222" s="7" t="str">
        <f>HYPERLINK("https://v360.in/diamondview.aspx?cid=preet&amp;d=HN-130-3","https://v360.in/diamondview.aspx?cid=preet&amp;d=HN-130-3")</f>
        <v>https://v360.in/diamondview.aspx?cid=preet&amp;d=HN-130-3</v>
      </c>
    </row>
    <row r="223" ht="15.75" spans="1:54">
      <c r="A223" s="2" t="s">
        <v>773</v>
      </c>
      <c r="B223" s="3" t="s">
        <v>63</v>
      </c>
      <c r="C223" s="2" t="s">
        <v>613</v>
      </c>
      <c r="D223" s="2">
        <v>1.06</v>
      </c>
      <c r="E223" s="2" t="s">
        <v>65</v>
      </c>
      <c r="F223" s="2" t="s">
        <v>66</v>
      </c>
      <c r="G223" s="2" t="s">
        <v>67</v>
      </c>
      <c r="H223" s="2" t="s">
        <v>68</v>
      </c>
      <c r="I223" s="2" t="s">
        <v>68</v>
      </c>
      <c r="J223" s="2" t="s">
        <v>70</v>
      </c>
      <c r="L223" s="2" t="s">
        <v>774</v>
      </c>
      <c r="O223" t="s">
        <v>72</v>
      </c>
      <c r="P223" s="2">
        <v>551214606</v>
      </c>
      <c r="R223" s="2">
        <v>6900</v>
      </c>
      <c r="S223" s="4">
        <f t="shared" si="6"/>
        <v>7314</v>
      </c>
      <c r="T223" s="4">
        <v>-97</v>
      </c>
      <c r="U223" s="4">
        <f t="shared" si="7"/>
        <v>219.42</v>
      </c>
      <c r="V223" s="5">
        <v>0.702</v>
      </c>
      <c r="W223" s="5">
        <v>0.725</v>
      </c>
      <c r="AU223" s="3" t="s">
        <v>73</v>
      </c>
      <c r="AW223" s="2" t="s">
        <v>74</v>
      </c>
      <c r="AZ223" t="s">
        <v>775</v>
      </c>
      <c r="BB223" s="7" t="str">
        <f>HYPERLINK("https://v360.in/diamondview.aspx?cid=preet&amp;d=HN-127-33","https://v360.in/diamondview.aspx?cid=preet&amp;d=HN-127-33")</f>
        <v>https://v360.in/diamondview.aspx?cid=preet&amp;d=HN-127-33</v>
      </c>
    </row>
    <row r="224" ht="15.75" spans="1:54">
      <c r="A224" s="2" t="s">
        <v>776</v>
      </c>
      <c r="B224" s="3" t="s">
        <v>63</v>
      </c>
      <c r="C224" s="2" t="s">
        <v>613</v>
      </c>
      <c r="D224" s="2">
        <v>1.06</v>
      </c>
      <c r="E224" s="2" t="s">
        <v>65</v>
      </c>
      <c r="F224" s="2" t="s">
        <v>155</v>
      </c>
      <c r="G224" s="2" t="s">
        <v>67</v>
      </c>
      <c r="H224" s="2" t="s">
        <v>68</v>
      </c>
      <c r="I224" s="2" t="s">
        <v>68</v>
      </c>
      <c r="J224" s="2" t="s">
        <v>70</v>
      </c>
      <c r="L224" s="2" t="s">
        <v>777</v>
      </c>
      <c r="O224" t="s">
        <v>72</v>
      </c>
      <c r="P224" s="2">
        <v>553217224</v>
      </c>
      <c r="R224" s="2">
        <v>5700</v>
      </c>
      <c r="S224" s="4">
        <f t="shared" si="6"/>
        <v>6042</v>
      </c>
      <c r="T224" s="4">
        <v>-97</v>
      </c>
      <c r="U224" s="4">
        <f t="shared" si="7"/>
        <v>181.26</v>
      </c>
      <c r="V224" s="5">
        <v>0.665</v>
      </c>
      <c r="W224" s="5">
        <v>0.755</v>
      </c>
      <c r="AU224" s="3" t="s">
        <v>73</v>
      </c>
      <c r="AW224" s="2" t="s">
        <v>74</v>
      </c>
      <c r="AZ224" t="s">
        <v>778</v>
      </c>
      <c r="BB224" s="7" t="str">
        <f>HYPERLINK("https://v360.in/diamondview.aspx?cid=preet&amp;d=HN-127-24","https://v360.in/diamondview.aspx?cid=preet&amp;d=HN-127-24")</f>
        <v>https://v360.in/diamondview.aspx?cid=preet&amp;d=HN-127-24</v>
      </c>
    </row>
    <row r="225" ht="15.75" spans="1:54">
      <c r="A225" s="2" t="s">
        <v>779</v>
      </c>
      <c r="B225" s="3" t="s">
        <v>63</v>
      </c>
      <c r="C225" s="2" t="s">
        <v>613</v>
      </c>
      <c r="D225" s="2">
        <v>1.05</v>
      </c>
      <c r="E225" s="2" t="s">
        <v>119</v>
      </c>
      <c r="F225" s="2" t="s">
        <v>143</v>
      </c>
      <c r="G225" s="2" t="s">
        <v>67</v>
      </c>
      <c r="H225" s="2" t="s">
        <v>68</v>
      </c>
      <c r="I225" s="2" t="s">
        <v>68</v>
      </c>
      <c r="J225" s="2" t="s">
        <v>70</v>
      </c>
      <c r="L225" s="2" t="s">
        <v>780</v>
      </c>
      <c r="O225" t="s">
        <v>72</v>
      </c>
      <c r="P225" s="2">
        <v>561278600</v>
      </c>
      <c r="R225" s="2">
        <v>8700</v>
      </c>
      <c r="S225" s="4">
        <f t="shared" si="6"/>
        <v>9135</v>
      </c>
      <c r="T225" s="4">
        <v>-97</v>
      </c>
      <c r="U225" s="4">
        <f t="shared" si="7"/>
        <v>274.05</v>
      </c>
      <c r="V225" s="5">
        <v>0.732</v>
      </c>
      <c r="W225" s="5">
        <v>0.745</v>
      </c>
      <c r="AU225" s="3" t="s">
        <v>73</v>
      </c>
      <c r="AW225" s="2" t="s">
        <v>93</v>
      </c>
      <c r="AZ225" t="s">
        <v>781</v>
      </c>
      <c r="BB225" s="7" t="str">
        <f>HYPERLINK("https://v360.in/diamondview.aspx?cid=preet&amp;d=HN-130-101","https://v360.in/diamondview.aspx?cid=preet&amp;d=HN-130-101")</f>
        <v>https://v360.in/diamondview.aspx?cid=preet&amp;d=HN-130-101</v>
      </c>
    </row>
    <row r="226" ht="15.75" spans="1:54">
      <c r="A226" s="2" t="s">
        <v>782</v>
      </c>
      <c r="B226" s="3" t="s">
        <v>63</v>
      </c>
      <c r="C226" s="2" t="s">
        <v>613</v>
      </c>
      <c r="D226" s="2">
        <v>1.05</v>
      </c>
      <c r="E226" s="2" t="s">
        <v>119</v>
      </c>
      <c r="F226" s="2" t="s">
        <v>66</v>
      </c>
      <c r="G226" s="2" t="s">
        <v>67</v>
      </c>
      <c r="H226" s="2" t="s">
        <v>68</v>
      </c>
      <c r="I226" s="2" t="s">
        <v>68</v>
      </c>
      <c r="J226" s="2" t="s">
        <v>70</v>
      </c>
      <c r="L226" s="2" t="s">
        <v>783</v>
      </c>
      <c r="O226" t="s">
        <v>72</v>
      </c>
      <c r="P226" s="2">
        <v>553219382</v>
      </c>
      <c r="R226" s="2">
        <v>7200</v>
      </c>
      <c r="S226" s="4">
        <f t="shared" si="6"/>
        <v>7560</v>
      </c>
      <c r="T226" s="4">
        <v>-97</v>
      </c>
      <c r="U226" s="4">
        <f t="shared" si="7"/>
        <v>226.8</v>
      </c>
      <c r="V226" s="5">
        <v>0.713</v>
      </c>
      <c r="W226" s="5">
        <v>0.675</v>
      </c>
      <c r="AU226" s="3" t="s">
        <v>73</v>
      </c>
      <c r="AW226" s="2" t="s">
        <v>74</v>
      </c>
      <c r="AZ226" t="s">
        <v>784</v>
      </c>
      <c r="BB226" s="7" t="str">
        <f>HYPERLINK("https://v360.in/diamondview.aspx?cid=preet&amp;d=HN-127-58","https://v360.in/diamondview.aspx?cid=preet&amp;d=HN-127-58")</f>
        <v>https://v360.in/diamondview.aspx?cid=preet&amp;d=HN-127-58</v>
      </c>
    </row>
    <row r="227" ht="15.75" spans="1:54">
      <c r="A227" s="2" t="s">
        <v>785</v>
      </c>
      <c r="B227" s="3" t="s">
        <v>63</v>
      </c>
      <c r="C227" s="2" t="s">
        <v>613</v>
      </c>
      <c r="D227" s="2">
        <v>1.04</v>
      </c>
      <c r="E227" s="2" t="s">
        <v>119</v>
      </c>
      <c r="F227" s="2" t="s">
        <v>66</v>
      </c>
      <c r="G227" s="2" t="s">
        <v>67</v>
      </c>
      <c r="H227" s="2" t="s">
        <v>68</v>
      </c>
      <c r="I227" s="2" t="s">
        <v>68</v>
      </c>
      <c r="J227" s="2" t="s">
        <v>70</v>
      </c>
      <c r="L227" s="2" t="s">
        <v>786</v>
      </c>
      <c r="O227" t="s">
        <v>72</v>
      </c>
      <c r="P227" s="2">
        <v>553259907</v>
      </c>
      <c r="R227" s="2">
        <v>7200</v>
      </c>
      <c r="S227" s="4">
        <f t="shared" si="6"/>
        <v>7488</v>
      </c>
      <c r="T227" s="4">
        <v>-97</v>
      </c>
      <c r="U227" s="4">
        <f t="shared" si="7"/>
        <v>224.64</v>
      </c>
      <c r="V227" s="5">
        <v>0.718</v>
      </c>
      <c r="W227" s="6">
        <v>0.73</v>
      </c>
      <c r="AU227" s="3" t="s">
        <v>73</v>
      </c>
      <c r="AW227" s="2" t="s">
        <v>74</v>
      </c>
      <c r="AZ227" t="s">
        <v>787</v>
      </c>
      <c r="BB227" s="7" t="str">
        <f>HYPERLINK("https://v360.in/diamondview.aspx?cid=preet&amp;d=HN-127-36","https://v360.in/diamondview.aspx?cid=preet&amp;d=HN-127-36")</f>
        <v>https://v360.in/diamondview.aspx?cid=preet&amp;d=HN-127-36</v>
      </c>
    </row>
    <row r="228" ht="15.75" spans="1:54">
      <c r="A228" s="2" t="s">
        <v>788</v>
      </c>
      <c r="B228" s="3" t="s">
        <v>789</v>
      </c>
      <c r="C228" s="2" t="s">
        <v>613</v>
      </c>
      <c r="D228" s="2">
        <v>1.04</v>
      </c>
      <c r="E228" s="2" t="s">
        <v>119</v>
      </c>
      <c r="F228" s="2" t="s">
        <v>66</v>
      </c>
      <c r="G228" s="2" t="s">
        <v>67</v>
      </c>
      <c r="H228" s="2" t="s">
        <v>68</v>
      </c>
      <c r="I228" s="2" t="s">
        <v>68</v>
      </c>
      <c r="J228" s="2" t="s">
        <v>70</v>
      </c>
      <c r="L228" s="2" t="s">
        <v>790</v>
      </c>
      <c r="O228" t="s">
        <v>72</v>
      </c>
      <c r="P228" s="2">
        <v>553259908</v>
      </c>
      <c r="R228" s="2">
        <v>7200</v>
      </c>
      <c r="S228" s="4">
        <f t="shared" si="6"/>
        <v>7488</v>
      </c>
      <c r="T228" s="4">
        <v>-97</v>
      </c>
      <c r="U228" s="4">
        <f t="shared" si="7"/>
        <v>224.64</v>
      </c>
      <c r="V228" s="5">
        <v>0.731</v>
      </c>
      <c r="W228" s="6">
        <v>0.74</v>
      </c>
      <c r="AU228" s="3" t="s">
        <v>73</v>
      </c>
      <c r="AW228" s="2" t="s">
        <v>74</v>
      </c>
      <c r="AZ228" t="s">
        <v>791</v>
      </c>
      <c r="BB228" s="7" t="str">
        <f>HYPERLINK("https://v360.in/diamondview.aspx?cid=preet&amp;d=HN-127-26","https://v360.in/diamondview.aspx?cid=preet&amp;d=HN-127-26")</f>
        <v>https://v360.in/diamondview.aspx?cid=preet&amp;d=HN-127-26</v>
      </c>
    </row>
    <row r="229" ht="15.75" spans="1:54">
      <c r="A229" s="2" t="s">
        <v>792</v>
      </c>
      <c r="B229" s="3" t="s">
        <v>63</v>
      </c>
      <c r="C229" s="2" t="s">
        <v>613</v>
      </c>
      <c r="D229" s="2">
        <v>1.04</v>
      </c>
      <c r="E229" s="2" t="s">
        <v>63</v>
      </c>
      <c r="F229" s="2" t="s">
        <v>91</v>
      </c>
      <c r="G229" s="2" t="s">
        <v>67</v>
      </c>
      <c r="H229" s="2" t="s">
        <v>68</v>
      </c>
      <c r="I229" s="2" t="s">
        <v>68</v>
      </c>
      <c r="J229" s="2" t="s">
        <v>70</v>
      </c>
      <c r="L229" s="2" t="s">
        <v>793</v>
      </c>
      <c r="O229" t="s">
        <v>72</v>
      </c>
      <c r="P229" s="2">
        <v>571301030</v>
      </c>
      <c r="R229" s="2">
        <v>7000</v>
      </c>
      <c r="S229" s="4">
        <f t="shared" si="6"/>
        <v>7280</v>
      </c>
      <c r="T229" s="4">
        <v>-97</v>
      </c>
      <c r="U229" s="4">
        <f t="shared" si="7"/>
        <v>218.4</v>
      </c>
      <c r="V229" s="5">
        <v>0.733</v>
      </c>
      <c r="W229" s="5">
        <v>0.725</v>
      </c>
      <c r="AU229" s="3" t="s">
        <v>73</v>
      </c>
      <c r="AW229" s="2" t="s">
        <v>93</v>
      </c>
      <c r="AZ229" t="s">
        <v>794</v>
      </c>
      <c r="BB229" s="7" t="str">
        <f>HYPERLINK("https://v360.in/diamondview.aspx?cid=preet&amp;d=HN-141-22","https://v360.in/diamondview.aspx?cid=preet&amp;d=HN-141-22")</f>
        <v>https://v360.in/diamondview.aspx?cid=preet&amp;d=HN-141-22</v>
      </c>
    </row>
    <row r="230" ht="15.75" spans="1:54">
      <c r="A230" s="2" t="s">
        <v>795</v>
      </c>
      <c r="B230" s="3" t="s">
        <v>63</v>
      </c>
      <c r="C230" s="2" t="s">
        <v>613</v>
      </c>
      <c r="D230" s="2">
        <v>1.03</v>
      </c>
      <c r="E230" s="2" t="s">
        <v>119</v>
      </c>
      <c r="F230" s="2" t="s">
        <v>66</v>
      </c>
      <c r="G230" s="2" t="s">
        <v>67</v>
      </c>
      <c r="H230" s="2" t="s">
        <v>68</v>
      </c>
      <c r="I230" s="2" t="s">
        <v>68</v>
      </c>
      <c r="J230" s="2" t="s">
        <v>70</v>
      </c>
      <c r="L230" s="2" t="s">
        <v>796</v>
      </c>
      <c r="O230" t="s">
        <v>72</v>
      </c>
      <c r="P230" s="2">
        <v>553217223</v>
      </c>
      <c r="R230" s="2">
        <v>7200</v>
      </c>
      <c r="S230" s="4">
        <f t="shared" si="6"/>
        <v>7416</v>
      </c>
      <c r="T230" s="4">
        <v>-97</v>
      </c>
      <c r="U230" s="4">
        <f t="shared" si="7"/>
        <v>222.48</v>
      </c>
      <c r="V230" s="5">
        <v>0.723</v>
      </c>
      <c r="W230" s="5">
        <v>0.685</v>
      </c>
      <c r="AU230" s="3" t="s">
        <v>73</v>
      </c>
      <c r="AW230" s="2" t="s">
        <v>74</v>
      </c>
      <c r="AZ230" t="s">
        <v>797</v>
      </c>
      <c r="BB230" s="7" t="str">
        <f>HYPERLINK("https://v360.in/diamondview.aspx?cid=preet&amp;d=HN-127-12","https://v360.in/diamondview.aspx?cid=preet&amp;d=HN-127-12")</f>
        <v>https://v360.in/diamondview.aspx?cid=preet&amp;d=HN-127-12</v>
      </c>
    </row>
    <row r="231" ht="15.75" spans="1:54">
      <c r="A231" s="2" t="s">
        <v>798</v>
      </c>
      <c r="B231" s="3" t="s">
        <v>63</v>
      </c>
      <c r="C231" s="2" t="s">
        <v>613</v>
      </c>
      <c r="D231" s="2">
        <v>1.03</v>
      </c>
      <c r="E231" s="2" t="s">
        <v>65</v>
      </c>
      <c r="F231" s="2" t="s">
        <v>66</v>
      </c>
      <c r="G231" s="2" t="s">
        <v>67</v>
      </c>
      <c r="H231" s="2" t="s">
        <v>68</v>
      </c>
      <c r="I231" s="2" t="s">
        <v>68</v>
      </c>
      <c r="J231" s="2" t="s">
        <v>70</v>
      </c>
      <c r="L231" s="2" t="s">
        <v>799</v>
      </c>
      <c r="O231" t="s">
        <v>72</v>
      </c>
      <c r="P231" s="2">
        <v>551214612</v>
      </c>
      <c r="R231" s="2">
        <v>6900</v>
      </c>
      <c r="S231" s="4">
        <f t="shared" si="6"/>
        <v>7107</v>
      </c>
      <c r="T231" s="4">
        <v>-97</v>
      </c>
      <c r="U231" s="4">
        <f t="shared" si="7"/>
        <v>213.21</v>
      </c>
      <c r="V231" s="5">
        <v>0.707</v>
      </c>
      <c r="W231" s="5">
        <v>0.695</v>
      </c>
      <c r="AU231" s="3" t="s">
        <v>73</v>
      </c>
      <c r="AW231" s="2" t="s">
        <v>74</v>
      </c>
      <c r="AZ231" t="s">
        <v>800</v>
      </c>
      <c r="BB231" s="7" t="str">
        <f>HYPERLINK("https://v360.in/diamondview.aspx?cid=preet&amp;d=HN-128-23","https://v360.in/diamondview.aspx?cid=preet&amp;d=HN-128-23")</f>
        <v>https://v360.in/diamondview.aspx?cid=preet&amp;d=HN-128-23</v>
      </c>
    </row>
    <row r="232" ht="15.75" spans="1:54">
      <c r="A232" s="2" t="s">
        <v>801</v>
      </c>
      <c r="B232" s="3" t="s">
        <v>63</v>
      </c>
      <c r="C232" s="2" t="s">
        <v>613</v>
      </c>
      <c r="D232" s="2">
        <v>1.03</v>
      </c>
      <c r="E232" s="2" t="s">
        <v>65</v>
      </c>
      <c r="F232" s="2" t="s">
        <v>66</v>
      </c>
      <c r="G232" s="2" t="s">
        <v>67</v>
      </c>
      <c r="H232" s="2" t="s">
        <v>68</v>
      </c>
      <c r="I232" s="2" t="s">
        <v>68</v>
      </c>
      <c r="J232" s="2" t="s">
        <v>70</v>
      </c>
      <c r="L232" s="2" t="s">
        <v>802</v>
      </c>
      <c r="O232" t="s">
        <v>72</v>
      </c>
      <c r="P232" s="2">
        <v>561278595</v>
      </c>
      <c r="R232" s="2">
        <v>6900</v>
      </c>
      <c r="S232" s="4">
        <f t="shared" si="6"/>
        <v>7107</v>
      </c>
      <c r="T232" s="4">
        <v>-97</v>
      </c>
      <c r="U232" s="4">
        <f t="shared" si="7"/>
        <v>213.21</v>
      </c>
      <c r="V232" s="2">
        <v>70</v>
      </c>
      <c r="W232" s="2">
        <v>70</v>
      </c>
      <c r="AU232" s="3" t="s">
        <v>73</v>
      </c>
      <c r="AW232" s="2" t="s">
        <v>93</v>
      </c>
      <c r="AZ232" t="s">
        <v>803</v>
      </c>
      <c r="BB232" s="7" t="str">
        <f>HYPERLINK("https://v360.in/diamondview.aspx?cid=preet&amp;d=HN-129-44","https://v360.in/diamondview.aspx?cid=preet&amp;d=HN-129-44")</f>
        <v>https://v360.in/diamondview.aspx?cid=preet&amp;d=HN-129-44</v>
      </c>
    </row>
    <row r="233" ht="15.75" spans="1:54">
      <c r="A233" s="2" t="s">
        <v>804</v>
      </c>
      <c r="B233" s="3" t="s">
        <v>63</v>
      </c>
      <c r="C233" s="2" t="s">
        <v>613</v>
      </c>
      <c r="D233" s="2">
        <v>1.02</v>
      </c>
      <c r="E233" s="2" t="s">
        <v>65</v>
      </c>
      <c r="F233" s="2" t="s">
        <v>66</v>
      </c>
      <c r="G233" s="2" t="s">
        <v>67</v>
      </c>
      <c r="H233" s="2" t="s">
        <v>68</v>
      </c>
      <c r="I233" s="2" t="s">
        <v>69</v>
      </c>
      <c r="J233" s="2" t="s">
        <v>70</v>
      </c>
      <c r="L233" s="2" t="s">
        <v>805</v>
      </c>
      <c r="O233" t="s">
        <v>72</v>
      </c>
      <c r="P233" s="2">
        <v>567356446</v>
      </c>
      <c r="R233" s="2">
        <v>4700</v>
      </c>
      <c r="S233" s="4">
        <f t="shared" si="6"/>
        <v>4794</v>
      </c>
      <c r="T233" s="4">
        <v>-97</v>
      </c>
      <c r="U233" s="4">
        <f t="shared" si="7"/>
        <v>143.82</v>
      </c>
      <c r="V233" s="5">
        <v>0.677</v>
      </c>
      <c r="W233" s="5">
        <v>0.745</v>
      </c>
      <c r="AU233" s="3" t="s">
        <v>73</v>
      </c>
      <c r="AW233" s="2" t="s">
        <v>93</v>
      </c>
      <c r="AZ233" t="s">
        <v>806</v>
      </c>
      <c r="BB233" s="7" t="str">
        <f>HYPERLINK("https://v360.in/diamondview.aspx?cid=preet&amp;d=HN-136-26","https://v360.in/diamondview.aspx?cid=preet&amp;d=HN-136-26")</f>
        <v>https://v360.in/diamondview.aspx?cid=preet&amp;d=HN-136-26</v>
      </c>
    </row>
    <row r="234" ht="15.75" spans="1:54">
      <c r="A234" s="2" t="s">
        <v>807</v>
      </c>
      <c r="B234" s="3" t="s">
        <v>63</v>
      </c>
      <c r="C234" s="2" t="s">
        <v>613</v>
      </c>
      <c r="D234" s="2">
        <v>1.02</v>
      </c>
      <c r="E234" s="2" t="s">
        <v>65</v>
      </c>
      <c r="F234" s="2" t="s">
        <v>66</v>
      </c>
      <c r="G234" s="2" t="s">
        <v>67</v>
      </c>
      <c r="H234" s="2" t="s">
        <v>68</v>
      </c>
      <c r="I234" s="2" t="s">
        <v>68</v>
      </c>
      <c r="J234" s="2" t="s">
        <v>70</v>
      </c>
      <c r="L234" s="2" t="s">
        <v>808</v>
      </c>
      <c r="O234" t="s">
        <v>72</v>
      </c>
      <c r="P234" s="2">
        <v>561278584</v>
      </c>
      <c r="R234" s="2">
        <v>6900</v>
      </c>
      <c r="S234" s="4">
        <f t="shared" si="6"/>
        <v>7038</v>
      </c>
      <c r="T234" s="4">
        <v>-97</v>
      </c>
      <c r="U234" s="4">
        <f t="shared" si="7"/>
        <v>211.14</v>
      </c>
      <c r="V234" s="5">
        <v>0.715</v>
      </c>
      <c r="W234" s="2">
        <v>70</v>
      </c>
      <c r="AU234" s="3" t="s">
        <v>73</v>
      </c>
      <c r="AW234" s="2" t="s">
        <v>93</v>
      </c>
      <c r="AZ234" t="s">
        <v>809</v>
      </c>
      <c r="BB234" s="7" t="str">
        <f>HYPERLINK("https://v360.in/diamondview.aspx?cid=preet&amp;d=HN-130-44","https://v360.in/diamondview.aspx?cid=preet&amp;d=HN-130-44")</f>
        <v>https://v360.in/diamondview.aspx?cid=preet&amp;d=HN-130-44</v>
      </c>
    </row>
    <row r="235" ht="15.75" spans="1:54">
      <c r="A235" s="2" t="s">
        <v>810</v>
      </c>
      <c r="B235" s="3" t="s">
        <v>63</v>
      </c>
      <c r="C235" s="2" t="s">
        <v>613</v>
      </c>
      <c r="D235" s="2">
        <v>1.01</v>
      </c>
      <c r="E235" s="2" t="s">
        <v>119</v>
      </c>
      <c r="F235" s="2" t="s">
        <v>143</v>
      </c>
      <c r="G235" s="2" t="s">
        <v>67</v>
      </c>
      <c r="H235" s="2" t="s">
        <v>68</v>
      </c>
      <c r="I235" s="2" t="s">
        <v>68</v>
      </c>
      <c r="J235" s="2" t="s">
        <v>70</v>
      </c>
      <c r="L235" s="2" t="s">
        <v>811</v>
      </c>
      <c r="O235" t="s">
        <v>72</v>
      </c>
      <c r="P235" s="2">
        <v>553219373</v>
      </c>
      <c r="R235" s="2">
        <v>8700</v>
      </c>
      <c r="S235" s="4">
        <f t="shared" si="6"/>
        <v>8787</v>
      </c>
      <c r="T235" s="4">
        <v>-97</v>
      </c>
      <c r="U235" s="4">
        <f t="shared" si="7"/>
        <v>263.61</v>
      </c>
      <c r="V235" s="5">
        <v>0.722</v>
      </c>
      <c r="W235" s="6">
        <v>0.64</v>
      </c>
      <c r="AU235" s="3" t="s">
        <v>73</v>
      </c>
      <c r="AW235" s="2" t="s">
        <v>74</v>
      </c>
      <c r="AZ235" t="s">
        <v>812</v>
      </c>
      <c r="BB235" s="7" t="str">
        <f>HYPERLINK("https://v360.in/diamondview.aspx?cid=preet&amp;d=HN-128-34","https://v360.in/diamondview.aspx?cid=preet&amp;d=HN-128-34")</f>
        <v>https://v360.in/diamondview.aspx?cid=preet&amp;d=HN-128-34</v>
      </c>
    </row>
    <row r="236" ht="15.75" spans="1:54">
      <c r="A236" s="2" t="s">
        <v>813</v>
      </c>
      <c r="B236" s="3" t="s">
        <v>63</v>
      </c>
      <c r="C236" s="2" t="s">
        <v>613</v>
      </c>
      <c r="D236" s="2">
        <v>1.01</v>
      </c>
      <c r="E236" s="2" t="s">
        <v>119</v>
      </c>
      <c r="F236" s="2" t="s">
        <v>66</v>
      </c>
      <c r="G236" s="2" t="s">
        <v>67</v>
      </c>
      <c r="H236" s="2" t="s">
        <v>68</v>
      </c>
      <c r="I236" s="2" t="s">
        <v>69</v>
      </c>
      <c r="J236" s="2" t="s">
        <v>70</v>
      </c>
      <c r="L236" s="2" t="s">
        <v>814</v>
      </c>
      <c r="O236" t="s">
        <v>72</v>
      </c>
      <c r="P236" s="2">
        <v>560231298</v>
      </c>
      <c r="R236" s="2">
        <v>7200</v>
      </c>
      <c r="S236" s="4">
        <f t="shared" si="6"/>
        <v>7272</v>
      </c>
      <c r="T236" s="4">
        <v>-97</v>
      </c>
      <c r="U236" s="4">
        <f t="shared" si="7"/>
        <v>218.16</v>
      </c>
      <c r="V236" s="5">
        <v>0.726</v>
      </c>
      <c r="W236" s="5">
        <v>0.685</v>
      </c>
      <c r="AU236" s="3" t="s">
        <v>73</v>
      </c>
      <c r="AW236" s="2" t="s">
        <v>74</v>
      </c>
      <c r="AZ236" t="s">
        <v>815</v>
      </c>
      <c r="BB236" s="7" t="str">
        <f>HYPERLINK("https://v360.in/diamondview.aspx?cid=preet&amp;d=HN-129-40","https://v360.in/diamondview.aspx?cid=preet&amp;d=HN-129-40")</f>
        <v>https://v360.in/diamondview.aspx?cid=preet&amp;d=HN-129-40</v>
      </c>
    </row>
    <row r="237" ht="15.75" spans="1:54">
      <c r="A237" s="2" t="s">
        <v>816</v>
      </c>
      <c r="B237" s="3" t="s">
        <v>63</v>
      </c>
      <c r="C237" s="2" t="s">
        <v>613</v>
      </c>
      <c r="D237" s="2">
        <v>1.01</v>
      </c>
      <c r="E237" s="2" t="s">
        <v>65</v>
      </c>
      <c r="F237" s="2" t="s">
        <v>66</v>
      </c>
      <c r="G237" s="2" t="s">
        <v>67</v>
      </c>
      <c r="H237" s="2" t="s">
        <v>68</v>
      </c>
      <c r="I237" s="2" t="s">
        <v>68</v>
      </c>
      <c r="J237" s="2" t="s">
        <v>70</v>
      </c>
      <c r="L237" s="2" t="s">
        <v>817</v>
      </c>
      <c r="O237" t="s">
        <v>72</v>
      </c>
      <c r="P237" s="2">
        <v>559298579</v>
      </c>
      <c r="R237" s="2">
        <v>6900</v>
      </c>
      <c r="S237" s="4">
        <f t="shared" si="6"/>
        <v>6969</v>
      </c>
      <c r="T237" s="4">
        <v>-97</v>
      </c>
      <c r="U237" s="4">
        <f t="shared" si="7"/>
        <v>209.07</v>
      </c>
      <c r="V237" s="5">
        <v>0.703</v>
      </c>
      <c r="W237" s="2">
        <v>68</v>
      </c>
      <c r="AU237" s="3" t="s">
        <v>73</v>
      </c>
      <c r="AW237" s="2" t="s">
        <v>74</v>
      </c>
      <c r="AZ237" t="s">
        <v>818</v>
      </c>
      <c r="BB237" s="7" t="str">
        <f>HYPERLINK("https://v360.in/diamondview.aspx?cid=preet&amp;d=HN-130-15","https://v360.in/diamondview.aspx?cid=preet&amp;d=HN-130-15")</f>
        <v>https://v360.in/diamondview.aspx?cid=preet&amp;d=HN-130-15</v>
      </c>
    </row>
    <row r="238" ht="15.75" spans="1:54">
      <c r="A238" s="2" t="s">
        <v>819</v>
      </c>
      <c r="B238" s="3" t="s">
        <v>63</v>
      </c>
      <c r="C238" s="2" t="s">
        <v>613</v>
      </c>
      <c r="D238" s="2">
        <v>1.01</v>
      </c>
      <c r="E238" s="2" t="s">
        <v>65</v>
      </c>
      <c r="F238" s="2" t="s">
        <v>155</v>
      </c>
      <c r="G238" s="2" t="s">
        <v>67</v>
      </c>
      <c r="H238" s="2" t="s">
        <v>68</v>
      </c>
      <c r="I238" s="2" t="s">
        <v>69</v>
      </c>
      <c r="J238" s="2" t="s">
        <v>70</v>
      </c>
      <c r="L238" s="2" t="s">
        <v>820</v>
      </c>
      <c r="O238" t="s">
        <v>72</v>
      </c>
      <c r="P238" s="2">
        <v>544276934</v>
      </c>
      <c r="R238" s="2">
        <v>5700</v>
      </c>
      <c r="S238" s="4">
        <f t="shared" si="6"/>
        <v>5757</v>
      </c>
      <c r="T238" s="4">
        <v>-97</v>
      </c>
      <c r="U238" s="4">
        <f t="shared" si="7"/>
        <v>172.71</v>
      </c>
      <c r="V238" s="2">
        <v>72</v>
      </c>
      <c r="W238" s="2">
        <v>73</v>
      </c>
      <c r="AU238" s="3" t="s">
        <v>73</v>
      </c>
      <c r="AW238" s="2" t="s">
        <v>74</v>
      </c>
      <c r="AZ238" t="s">
        <v>821</v>
      </c>
      <c r="BB238" s="7" t="str">
        <f>HYPERLINK("https://v360.in/diamondview.aspx?cid=meet&amp;d=HN-85-116","https://v360.in/diamondview.aspx?cid=meet&amp;d=HN-85-116")</f>
        <v>https://v360.in/diamondview.aspx?cid=meet&amp;d=HN-85-116</v>
      </c>
    </row>
    <row r="239" ht="15.75" spans="1:54">
      <c r="A239" s="2" t="s">
        <v>822</v>
      </c>
      <c r="B239" s="3" t="s">
        <v>63</v>
      </c>
      <c r="C239" s="2" t="s">
        <v>613</v>
      </c>
      <c r="D239" s="2">
        <v>1.01</v>
      </c>
      <c r="E239" s="2" t="s">
        <v>63</v>
      </c>
      <c r="F239" s="2" t="s">
        <v>66</v>
      </c>
      <c r="G239" s="2" t="s">
        <v>67</v>
      </c>
      <c r="H239" s="2" t="s">
        <v>68</v>
      </c>
      <c r="I239" s="2" t="s">
        <v>68</v>
      </c>
      <c r="J239" s="2" t="s">
        <v>70</v>
      </c>
      <c r="L239" s="2" t="s">
        <v>823</v>
      </c>
      <c r="O239" t="s">
        <v>72</v>
      </c>
      <c r="P239" s="2">
        <v>570376239</v>
      </c>
      <c r="R239" s="2">
        <v>6600</v>
      </c>
      <c r="S239" s="4">
        <f t="shared" si="6"/>
        <v>6666</v>
      </c>
      <c r="T239" s="4">
        <v>-97</v>
      </c>
      <c r="U239" s="4">
        <f t="shared" si="7"/>
        <v>199.98</v>
      </c>
      <c r="V239" s="5">
        <v>0.728</v>
      </c>
      <c r="W239" s="5">
        <v>0.715</v>
      </c>
      <c r="AU239" s="3" t="s">
        <v>73</v>
      </c>
      <c r="AW239" s="2" t="s">
        <v>93</v>
      </c>
      <c r="AZ239" t="s">
        <v>824</v>
      </c>
      <c r="BB239" s="7" t="str">
        <f>HYPERLINK("https://v360.in/diamondview.aspx?cid=preet&amp;d=HN-142-34","https://v360.in/diamondview.aspx?cid=preet&amp;d=HN-142-34")</f>
        <v>https://v360.in/diamondview.aspx?cid=preet&amp;d=HN-142-34</v>
      </c>
    </row>
    <row r="240" ht="15.75" spans="1:54">
      <c r="A240" s="2" t="s">
        <v>825</v>
      </c>
      <c r="B240" s="3" t="s">
        <v>63</v>
      </c>
      <c r="C240" s="2" t="s">
        <v>613</v>
      </c>
      <c r="D240" s="2">
        <v>1</v>
      </c>
      <c r="E240" s="2" t="s">
        <v>119</v>
      </c>
      <c r="F240" s="2" t="s">
        <v>66</v>
      </c>
      <c r="G240" s="2" t="s">
        <v>67</v>
      </c>
      <c r="H240" s="2" t="s">
        <v>68</v>
      </c>
      <c r="I240" s="2" t="s">
        <v>69</v>
      </c>
      <c r="J240" s="2" t="s">
        <v>70</v>
      </c>
      <c r="L240" s="2" t="s">
        <v>826</v>
      </c>
      <c r="O240" t="s">
        <v>72</v>
      </c>
      <c r="P240" s="2">
        <v>560231296</v>
      </c>
      <c r="R240" s="2">
        <v>7200</v>
      </c>
      <c r="S240" s="4">
        <f t="shared" si="6"/>
        <v>7200</v>
      </c>
      <c r="T240" s="4">
        <v>-97</v>
      </c>
      <c r="U240" s="4">
        <f t="shared" si="7"/>
        <v>216</v>
      </c>
      <c r="V240" s="5">
        <v>0.726</v>
      </c>
      <c r="W240" s="2">
        <v>66</v>
      </c>
      <c r="AU240" s="3" t="s">
        <v>73</v>
      </c>
      <c r="AW240" s="2" t="s">
        <v>74</v>
      </c>
      <c r="AZ240" t="s">
        <v>827</v>
      </c>
      <c r="BB240" s="7" t="str">
        <f>HYPERLINK("https://v360.in/diamondview.aspx?cid=preet&amp;d=HN-130-36","https://v360.in/diamondview.aspx?cid=preet&amp;d=HN-130-36")</f>
        <v>https://v360.in/diamondview.aspx?cid=preet&amp;d=HN-130-36</v>
      </c>
    </row>
    <row r="241" ht="15.75" spans="1:54">
      <c r="A241" s="2" t="s">
        <v>828</v>
      </c>
      <c r="B241" s="3" t="s">
        <v>63</v>
      </c>
      <c r="C241" s="2" t="s">
        <v>613</v>
      </c>
      <c r="D241" s="2">
        <v>1</v>
      </c>
      <c r="E241" s="2" t="s">
        <v>119</v>
      </c>
      <c r="F241" s="2" t="s">
        <v>91</v>
      </c>
      <c r="G241" s="2" t="s">
        <v>67</v>
      </c>
      <c r="H241" s="2" t="s">
        <v>68</v>
      </c>
      <c r="I241" s="2" t="s">
        <v>69</v>
      </c>
      <c r="J241" s="2" t="s">
        <v>70</v>
      </c>
      <c r="L241" s="2" t="s">
        <v>829</v>
      </c>
      <c r="O241" t="s">
        <v>72</v>
      </c>
      <c r="P241" s="2">
        <v>563201919</v>
      </c>
      <c r="R241" s="2">
        <v>8000</v>
      </c>
      <c r="S241" s="4">
        <f t="shared" si="6"/>
        <v>8000</v>
      </c>
      <c r="T241" s="4">
        <v>-97</v>
      </c>
      <c r="U241" s="4">
        <f t="shared" si="7"/>
        <v>240</v>
      </c>
      <c r="V241" s="5">
        <v>0.698</v>
      </c>
      <c r="W241" s="5">
        <v>0.755</v>
      </c>
      <c r="AU241" s="3" t="s">
        <v>73</v>
      </c>
      <c r="AW241" s="2" t="s">
        <v>93</v>
      </c>
      <c r="AZ241" t="s">
        <v>830</v>
      </c>
      <c r="BB241" s="7" t="str">
        <f>HYPERLINK("https://v360.in/diamondview.aspx?cid=preet&amp;d=HN-134-25","https://v360.in/diamondview.aspx?cid=preet&amp;d=HN-134-25")</f>
        <v>https://v360.in/diamondview.aspx?cid=preet&amp;d=HN-134-25</v>
      </c>
    </row>
    <row r="242" ht="15.75" spans="1:54">
      <c r="A242" s="2" t="s">
        <v>831</v>
      </c>
      <c r="B242" s="3" t="s">
        <v>63</v>
      </c>
      <c r="C242" s="2" t="s">
        <v>613</v>
      </c>
      <c r="D242" s="2">
        <v>1</v>
      </c>
      <c r="E242" s="2" t="s">
        <v>119</v>
      </c>
      <c r="F242" s="2" t="s">
        <v>155</v>
      </c>
      <c r="G242" s="2" t="s">
        <v>67</v>
      </c>
      <c r="H242" s="2" t="s">
        <v>68</v>
      </c>
      <c r="I242" s="2" t="s">
        <v>69</v>
      </c>
      <c r="J242" s="2" t="s">
        <v>70</v>
      </c>
      <c r="L242" s="2" t="s">
        <v>832</v>
      </c>
      <c r="O242" t="s">
        <v>72</v>
      </c>
      <c r="P242" s="2">
        <v>550231430</v>
      </c>
      <c r="R242" s="2">
        <v>6000</v>
      </c>
      <c r="S242" s="4">
        <f t="shared" si="6"/>
        <v>6000</v>
      </c>
      <c r="T242" s="4">
        <v>-97</v>
      </c>
      <c r="U242" s="4">
        <f t="shared" si="7"/>
        <v>180</v>
      </c>
      <c r="V242" s="5">
        <v>0.725</v>
      </c>
      <c r="W242" s="2">
        <v>79</v>
      </c>
      <c r="AU242" s="3" t="s">
        <v>73</v>
      </c>
      <c r="AW242" s="2" t="s">
        <v>74</v>
      </c>
      <c r="AZ242" t="s">
        <v>833</v>
      </c>
      <c r="BB242" s="7" t="str">
        <f>HYPERLINK("https://v360.in/diamondview.aspx?cid=preet&amp;d=HN-97-37","https://v360.in/diamondview.aspx?cid=preet&amp;d=HN-97-37")</f>
        <v>https://v360.in/diamondview.aspx?cid=preet&amp;d=HN-97-37</v>
      </c>
    </row>
    <row r="243" ht="15.75" spans="1:54">
      <c r="A243" s="2" t="s">
        <v>834</v>
      </c>
      <c r="B243" s="3" t="s">
        <v>63</v>
      </c>
      <c r="C243" s="2" t="s">
        <v>613</v>
      </c>
      <c r="D243" s="2">
        <v>1</v>
      </c>
      <c r="E243" s="2" t="s">
        <v>65</v>
      </c>
      <c r="F243" s="2" t="s">
        <v>143</v>
      </c>
      <c r="G243" s="2" t="s">
        <v>67</v>
      </c>
      <c r="H243" s="2" t="s">
        <v>68</v>
      </c>
      <c r="I243" s="2" t="s">
        <v>68</v>
      </c>
      <c r="J243" s="2" t="s">
        <v>70</v>
      </c>
      <c r="L243" s="2" t="s">
        <v>835</v>
      </c>
      <c r="O243" t="s">
        <v>72</v>
      </c>
      <c r="P243" s="2">
        <v>570376240</v>
      </c>
      <c r="R243" s="2">
        <v>8000</v>
      </c>
      <c r="S243" s="4">
        <f t="shared" si="6"/>
        <v>8000</v>
      </c>
      <c r="T243" s="4">
        <v>-97</v>
      </c>
      <c r="U243" s="4">
        <f t="shared" si="7"/>
        <v>240</v>
      </c>
      <c r="V243" s="5">
        <v>0.682</v>
      </c>
      <c r="W243" s="5">
        <v>0.715</v>
      </c>
      <c r="AU243" s="3" t="s">
        <v>73</v>
      </c>
      <c r="AW243" s="2" t="s">
        <v>93</v>
      </c>
      <c r="AZ243" t="s">
        <v>836</v>
      </c>
      <c r="BB243" s="7" t="str">
        <f>HYPERLINK("https://v360.in/diamondview.aspx?cid=preet&amp;d=HN-142-35","https://v360.in/diamondview.aspx?cid=preet&amp;d=HN-142-35")</f>
        <v>https://v360.in/diamondview.aspx?cid=preet&amp;d=HN-142-35</v>
      </c>
    </row>
    <row r="244" ht="15.75" spans="1:54">
      <c r="A244" s="2" t="s">
        <v>837</v>
      </c>
      <c r="B244" s="3" t="s">
        <v>63</v>
      </c>
      <c r="C244" s="2" t="s">
        <v>613</v>
      </c>
      <c r="D244" s="2">
        <v>1</v>
      </c>
      <c r="E244" s="2" t="s">
        <v>65</v>
      </c>
      <c r="F244" s="2" t="s">
        <v>66</v>
      </c>
      <c r="G244" s="2" t="s">
        <v>67</v>
      </c>
      <c r="H244" s="2" t="s">
        <v>68</v>
      </c>
      <c r="I244" s="2" t="s">
        <v>69</v>
      </c>
      <c r="J244" s="2" t="s">
        <v>70</v>
      </c>
      <c r="L244" s="2" t="s">
        <v>838</v>
      </c>
      <c r="O244" t="s">
        <v>72</v>
      </c>
      <c r="P244" s="2">
        <v>553259828</v>
      </c>
      <c r="R244" s="2">
        <v>6900</v>
      </c>
      <c r="S244" s="4">
        <f t="shared" si="6"/>
        <v>6900</v>
      </c>
      <c r="T244" s="4">
        <v>-97</v>
      </c>
      <c r="U244" s="4">
        <f t="shared" si="7"/>
        <v>207</v>
      </c>
      <c r="V244" s="5">
        <v>0.728</v>
      </c>
      <c r="W244" s="5">
        <v>0.705</v>
      </c>
      <c r="AU244" s="3" t="s">
        <v>73</v>
      </c>
      <c r="AW244" s="2" t="s">
        <v>74</v>
      </c>
      <c r="AZ244" t="s">
        <v>839</v>
      </c>
      <c r="BB244" s="7" t="str">
        <f>HYPERLINK("https://v360.in/diamondview.aspx?cid=preet&amp;d=HN-128-12","https://v360.in/diamondview.aspx?cid=preet&amp;d=HN-128-12")</f>
        <v>https://v360.in/diamondview.aspx?cid=preet&amp;d=HN-128-12</v>
      </c>
    </row>
    <row r="245" ht="15.75" spans="1:54">
      <c r="A245" s="2" t="s">
        <v>840</v>
      </c>
      <c r="B245" s="3" t="s">
        <v>63</v>
      </c>
      <c r="C245" s="2" t="s">
        <v>613</v>
      </c>
      <c r="D245" s="2">
        <v>1</v>
      </c>
      <c r="E245" s="2" t="s">
        <v>65</v>
      </c>
      <c r="F245" s="2" t="s">
        <v>66</v>
      </c>
      <c r="G245" s="2" t="s">
        <v>67</v>
      </c>
      <c r="H245" s="2" t="s">
        <v>68</v>
      </c>
      <c r="I245" s="2" t="s">
        <v>68</v>
      </c>
      <c r="J245" s="2" t="s">
        <v>70</v>
      </c>
      <c r="L245" s="2" t="s">
        <v>841</v>
      </c>
      <c r="O245" t="s">
        <v>72</v>
      </c>
      <c r="P245" s="2">
        <v>553259827</v>
      </c>
      <c r="R245" s="2">
        <v>6900</v>
      </c>
      <c r="S245" s="4">
        <f t="shared" si="6"/>
        <v>6900</v>
      </c>
      <c r="T245" s="4">
        <v>-97</v>
      </c>
      <c r="U245" s="4">
        <f t="shared" si="7"/>
        <v>207</v>
      </c>
      <c r="V245" s="5">
        <v>0.738</v>
      </c>
      <c r="W245" s="5">
        <v>0.645</v>
      </c>
      <c r="AU245" s="3" t="s">
        <v>73</v>
      </c>
      <c r="AW245" s="2" t="s">
        <v>74</v>
      </c>
      <c r="AZ245" t="s">
        <v>842</v>
      </c>
      <c r="BB245" s="7" t="str">
        <f>HYPERLINK("https://v360.in/diamondview.aspx?cid=preet&amp;d=HN-128-45","https://v360.in/diamondview.aspx?cid=preet&amp;d=HN-128-45")</f>
        <v>https://v360.in/diamondview.aspx?cid=preet&amp;d=HN-128-45</v>
      </c>
    </row>
    <row r="246" ht="15.75" spans="1:54">
      <c r="A246" s="2" t="s">
        <v>843</v>
      </c>
      <c r="B246" s="3" t="s">
        <v>63</v>
      </c>
      <c r="C246" s="2" t="s">
        <v>613</v>
      </c>
      <c r="D246" s="2">
        <v>1</v>
      </c>
      <c r="E246" s="2" t="s">
        <v>65</v>
      </c>
      <c r="F246" s="2" t="s">
        <v>66</v>
      </c>
      <c r="G246" s="2" t="s">
        <v>67</v>
      </c>
      <c r="H246" s="2" t="s">
        <v>68</v>
      </c>
      <c r="I246" s="2" t="s">
        <v>68</v>
      </c>
      <c r="J246" s="2" t="s">
        <v>70</v>
      </c>
      <c r="L246" s="2" t="s">
        <v>844</v>
      </c>
      <c r="O246" t="s">
        <v>72</v>
      </c>
      <c r="P246" s="2">
        <v>567356447</v>
      </c>
      <c r="R246" s="2">
        <v>6900</v>
      </c>
      <c r="S246" s="4">
        <f t="shared" si="6"/>
        <v>6900</v>
      </c>
      <c r="T246" s="4">
        <v>-97</v>
      </c>
      <c r="U246" s="4">
        <f t="shared" si="7"/>
        <v>207</v>
      </c>
      <c r="V246" s="5">
        <v>0.688</v>
      </c>
      <c r="W246" s="6">
        <v>0.76</v>
      </c>
      <c r="AU246" s="3" t="s">
        <v>73</v>
      </c>
      <c r="AW246" s="2" t="s">
        <v>93</v>
      </c>
      <c r="AZ246" t="s">
        <v>845</v>
      </c>
      <c r="BB246" s="7" t="str">
        <f>HYPERLINK("https://v360.in/diamondview.aspx?cid=preet&amp;d=HN-136-25","https://v360.in/diamondview.aspx?cid=preet&amp;d=HN-136-25")</f>
        <v>https://v360.in/diamondview.aspx?cid=preet&amp;d=HN-136-25</v>
      </c>
    </row>
    <row r="247" ht="15.75" spans="1:54">
      <c r="A247" s="2" t="s">
        <v>846</v>
      </c>
      <c r="B247" s="3" t="s">
        <v>63</v>
      </c>
      <c r="C247" s="2" t="s">
        <v>613</v>
      </c>
      <c r="D247" s="2">
        <v>1</v>
      </c>
      <c r="E247" s="2" t="s">
        <v>65</v>
      </c>
      <c r="F247" s="2" t="s">
        <v>66</v>
      </c>
      <c r="G247" s="2" t="s">
        <v>67</v>
      </c>
      <c r="H247" s="2" t="s">
        <v>68</v>
      </c>
      <c r="I247" s="2" t="s">
        <v>68</v>
      </c>
      <c r="J247" s="2" t="s">
        <v>70</v>
      </c>
      <c r="L247" s="2" t="s">
        <v>847</v>
      </c>
      <c r="O247" t="s">
        <v>72</v>
      </c>
      <c r="P247" s="2">
        <v>570376235</v>
      </c>
      <c r="R247" s="2">
        <v>6900</v>
      </c>
      <c r="S247" s="4">
        <f t="shared" si="6"/>
        <v>6900</v>
      </c>
      <c r="T247" s="4">
        <v>-97</v>
      </c>
      <c r="U247" s="4">
        <f t="shared" si="7"/>
        <v>207</v>
      </c>
      <c r="V247" s="6">
        <v>0.73</v>
      </c>
      <c r="W247" s="6">
        <v>0.73</v>
      </c>
      <c r="AU247" s="3" t="s">
        <v>73</v>
      </c>
      <c r="AW247" s="2" t="s">
        <v>93</v>
      </c>
      <c r="AZ247" t="s">
        <v>848</v>
      </c>
      <c r="BB247" s="7" t="str">
        <f>HYPERLINK("https://v360.in/diamondview.aspx?cid=preet&amp;d=HN-142-36","https://v360.in/diamondview.aspx?cid=preet&amp;d=HN-142-36")</f>
        <v>https://v360.in/diamondview.aspx?cid=preet&amp;d=HN-142-36</v>
      </c>
    </row>
    <row r="248" ht="15.75" spans="1:54">
      <c r="A248" s="2" t="s">
        <v>849</v>
      </c>
      <c r="B248" s="3" t="s">
        <v>63</v>
      </c>
      <c r="C248" s="2" t="s">
        <v>613</v>
      </c>
      <c r="D248" s="2">
        <v>1</v>
      </c>
      <c r="E248" s="2" t="s">
        <v>65</v>
      </c>
      <c r="F248" s="2" t="s">
        <v>91</v>
      </c>
      <c r="G248" s="2" t="s">
        <v>67</v>
      </c>
      <c r="H248" s="2" t="s">
        <v>68</v>
      </c>
      <c r="I248" s="2" t="s">
        <v>68</v>
      </c>
      <c r="J248" s="2" t="s">
        <v>70</v>
      </c>
      <c r="L248" s="2" t="s">
        <v>850</v>
      </c>
      <c r="O248" t="s">
        <v>72</v>
      </c>
      <c r="P248" s="2">
        <v>570376201</v>
      </c>
      <c r="R248" s="2">
        <v>7500</v>
      </c>
      <c r="S248" s="4">
        <f t="shared" si="6"/>
        <v>7500</v>
      </c>
      <c r="T248" s="4">
        <v>-97</v>
      </c>
      <c r="U248" s="4">
        <f t="shared" si="7"/>
        <v>225</v>
      </c>
      <c r="V248" s="5">
        <v>0.734</v>
      </c>
      <c r="W248" s="6">
        <v>0.77</v>
      </c>
      <c r="AU248" s="3" t="s">
        <v>73</v>
      </c>
      <c r="AW248" s="2" t="s">
        <v>93</v>
      </c>
      <c r="AZ248" t="s">
        <v>851</v>
      </c>
      <c r="BB248" s="7" t="str">
        <f>HYPERLINK("https://v360.in/diamondview.aspx?cid=preet&amp;d=HN-148-32","https://v360.in/diamondview.aspx?cid=preet&amp;d=HN-148-32")</f>
        <v>https://v360.in/diamondview.aspx?cid=preet&amp;d=HN-148-32</v>
      </c>
    </row>
    <row r="249" ht="15.75" spans="1:54">
      <c r="A249" s="2" t="s">
        <v>852</v>
      </c>
      <c r="B249" s="3" t="s">
        <v>63</v>
      </c>
      <c r="C249" s="2" t="s">
        <v>613</v>
      </c>
      <c r="D249" s="2">
        <v>1</v>
      </c>
      <c r="E249" s="2" t="s">
        <v>63</v>
      </c>
      <c r="F249" s="2" t="s">
        <v>91</v>
      </c>
      <c r="G249" s="2" t="s">
        <v>67</v>
      </c>
      <c r="H249" s="2" t="s">
        <v>68</v>
      </c>
      <c r="I249" s="2" t="s">
        <v>68</v>
      </c>
      <c r="J249" s="2" t="s">
        <v>70</v>
      </c>
      <c r="L249" s="2" t="s">
        <v>853</v>
      </c>
      <c r="O249" t="s">
        <v>72</v>
      </c>
      <c r="P249" s="2">
        <v>563201922</v>
      </c>
      <c r="R249" s="2">
        <v>7000</v>
      </c>
      <c r="S249" s="4">
        <f t="shared" si="6"/>
        <v>7000</v>
      </c>
      <c r="T249" s="4">
        <v>-97</v>
      </c>
      <c r="U249" s="4">
        <f t="shared" si="7"/>
        <v>210</v>
      </c>
      <c r="V249" s="6">
        <v>0.72</v>
      </c>
      <c r="W249" s="5">
        <v>0.735</v>
      </c>
      <c r="AU249" s="3" t="s">
        <v>73</v>
      </c>
      <c r="AW249" s="2" t="s">
        <v>93</v>
      </c>
      <c r="AZ249" t="s">
        <v>854</v>
      </c>
      <c r="BB249" s="7" t="str">
        <f>HYPERLINK("https://v360.in/diamondview.aspx?cid=preet&amp;d=HN-134-86","https://v360.in/diamondview.aspx?cid=preet&amp;d=HN-134-86")</f>
        <v>https://v360.in/diamondview.aspx?cid=preet&amp;d=HN-134-86</v>
      </c>
    </row>
    <row r="250" ht="15.75" spans="1:54">
      <c r="A250" s="2" t="s">
        <v>855</v>
      </c>
      <c r="B250" s="3" t="s">
        <v>63</v>
      </c>
      <c r="C250" s="2" t="s">
        <v>613</v>
      </c>
      <c r="D250" s="2">
        <v>1</v>
      </c>
      <c r="E250" s="2" t="s">
        <v>63</v>
      </c>
      <c r="F250" s="2" t="s">
        <v>91</v>
      </c>
      <c r="G250" s="2" t="s">
        <v>67</v>
      </c>
      <c r="H250" s="2" t="s">
        <v>68</v>
      </c>
      <c r="I250" s="2" t="s">
        <v>68</v>
      </c>
      <c r="J250" s="2" t="s">
        <v>70</v>
      </c>
      <c r="L250" s="2" t="s">
        <v>856</v>
      </c>
      <c r="O250" t="s">
        <v>72</v>
      </c>
      <c r="P250" s="2">
        <v>570376234</v>
      </c>
      <c r="R250" s="2">
        <v>7000</v>
      </c>
      <c r="S250" s="4">
        <f t="shared" si="6"/>
        <v>7000</v>
      </c>
      <c r="T250" s="4">
        <v>-97</v>
      </c>
      <c r="U250" s="4">
        <f t="shared" si="7"/>
        <v>210</v>
      </c>
      <c r="V250" s="5">
        <v>0.732</v>
      </c>
      <c r="W250" s="6">
        <v>0.69</v>
      </c>
      <c r="AU250" s="3" t="s">
        <v>73</v>
      </c>
      <c r="AW250" s="2" t="s">
        <v>93</v>
      </c>
      <c r="AZ250" t="s">
        <v>857</v>
      </c>
      <c r="BB250" s="7" t="str">
        <f>HYPERLINK("https://v360.in/diamondview.aspx?cid=preet&amp;d=HN-142-30","https://v360.in/diamondview.aspx?cid=preet&amp;d=HN-142-30")</f>
        <v>https://v360.in/diamondview.aspx?cid=preet&amp;d=HN-142-30</v>
      </c>
    </row>
    <row r="251" ht="15.75" spans="1:54">
      <c r="A251" s="2" t="s">
        <v>858</v>
      </c>
      <c r="B251" s="3" t="s">
        <v>63</v>
      </c>
      <c r="C251" s="2" t="s">
        <v>613</v>
      </c>
      <c r="D251" s="2">
        <v>0.92</v>
      </c>
      <c r="E251" s="2" t="s">
        <v>119</v>
      </c>
      <c r="F251" s="2" t="s">
        <v>155</v>
      </c>
      <c r="G251" s="2" t="s">
        <v>67</v>
      </c>
      <c r="H251" s="2" t="s">
        <v>68</v>
      </c>
      <c r="I251" s="2" t="s">
        <v>68</v>
      </c>
      <c r="J251" s="2" t="s">
        <v>70</v>
      </c>
      <c r="L251" s="2" t="s">
        <v>859</v>
      </c>
      <c r="O251" t="s">
        <v>72</v>
      </c>
      <c r="P251" s="2">
        <v>561278549</v>
      </c>
      <c r="R251" s="2">
        <v>4800</v>
      </c>
      <c r="S251" s="4">
        <f t="shared" si="6"/>
        <v>4416</v>
      </c>
      <c r="T251" s="4">
        <v>-97</v>
      </c>
      <c r="U251" s="4">
        <f t="shared" si="7"/>
        <v>132.48</v>
      </c>
      <c r="V251" s="5">
        <v>0.694</v>
      </c>
      <c r="W251" s="5">
        <v>0.605</v>
      </c>
      <c r="AU251" s="3" t="s">
        <v>73</v>
      </c>
      <c r="AW251" s="2" t="s">
        <v>93</v>
      </c>
      <c r="AZ251" t="s">
        <v>860</v>
      </c>
      <c r="BB251" s="7" t="str">
        <f>HYPERLINK("https://v360.in/diamondview.aspx?cid=preet&amp;d=HN-129-7","https://v360.in/diamondview.aspx?cid=preet&amp;d=HN-129-7")</f>
        <v>https://v360.in/diamondview.aspx?cid=preet&amp;d=HN-129-7</v>
      </c>
    </row>
    <row r="252" ht="15.75" spans="1:54">
      <c r="A252" s="2" t="s">
        <v>861</v>
      </c>
      <c r="B252" s="3" t="s">
        <v>63</v>
      </c>
      <c r="C252" s="2" t="s">
        <v>862</v>
      </c>
      <c r="D252" s="2">
        <v>2.12</v>
      </c>
      <c r="E252" s="2" t="s">
        <v>65</v>
      </c>
      <c r="F252" s="2" t="s">
        <v>66</v>
      </c>
      <c r="G252" s="2" t="s">
        <v>67</v>
      </c>
      <c r="H252" s="2" t="s">
        <v>68</v>
      </c>
      <c r="I252" s="2" t="s">
        <v>68</v>
      </c>
      <c r="J252" s="2" t="s">
        <v>70</v>
      </c>
      <c r="L252" s="2" t="s">
        <v>863</v>
      </c>
      <c r="O252" t="s">
        <v>72</v>
      </c>
      <c r="P252" s="2">
        <v>553217189</v>
      </c>
      <c r="R252" s="2">
        <v>15500</v>
      </c>
      <c r="S252" s="4">
        <f t="shared" si="6"/>
        <v>32860</v>
      </c>
      <c r="T252" s="4">
        <v>-97</v>
      </c>
      <c r="U252" s="4">
        <f t="shared" si="7"/>
        <v>985.8</v>
      </c>
      <c r="V252" s="5">
        <v>0.588</v>
      </c>
      <c r="W252" s="6">
        <v>0.62</v>
      </c>
      <c r="AU252" s="3" t="s">
        <v>73</v>
      </c>
      <c r="AW252" s="2" t="s">
        <v>74</v>
      </c>
      <c r="AZ252" t="s">
        <v>864</v>
      </c>
      <c r="BB252" s="7" t="str">
        <f>HYPERLINK("https://v360.in/diamondview.aspx?cid=preet&amp;d=HN-127-35","https://v360.in/diamondview.aspx?cid=preet&amp;d=HN-127-35")</f>
        <v>https://v360.in/diamondview.aspx?cid=preet&amp;d=HN-127-35</v>
      </c>
    </row>
    <row r="253" ht="15.75" spans="1:54">
      <c r="A253" s="2" t="s">
        <v>865</v>
      </c>
      <c r="B253" s="3" t="s">
        <v>63</v>
      </c>
      <c r="C253" s="2" t="s">
        <v>862</v>
      </c>
      <c r="D253" s="2">
        <v>2.11</v>
      </c>
      <c r="E253" s="2" t="s">
        <v>81</v>
      </c>
      <c r="F253" s="2" t="s">
        <v>91</v>
      </c>
      <c r="G253" s="2" t="s">
        <v>67</v>
      </c>
      <c r="H253" s="2" t="s">
        <v>68</v>
      </c>
      <c r="I253" s="2" t="s">
        <v>68</v>
      </c>
      <c r="J253" s="2" t="s">
        <v>70</v>
      </c>
      <c r="L253" s="2" t="s">
        <v>866</v>
      </c>
      <c r="O253" t="s">
        <v>72</v>
      </c>
      <c r="P253" s="2">
        <v>523275962</v>
      </c>
      <c r="R253" s="2">
        <v>13000</v>
      </c>
      <c r="S253" s="4">
        <f t="shared" si="6"/>
        <v>27430</v>
      </c>
      <c r="T253" s="4">
        <v>-97</v>
      </c>
      <c r="U253" s="4">
        <f t="shared" si="7"/>
        <v>822.9</v>
      </c>
      <c r="V253" s="5">
        <v>0.607</v>
      </c>
      <c r="W253" s="5">
        <v>0.585</v>
      </c>
      <c r="AU253" s="3" t="s">
        <v>73</v>
      </c>
      <c r="AW253" s="2" t="s">
        <v>74</v>
      </c>
      <c r="AZ253" t="s">
        <v>867</v>
      </c>
      <c r="BB253" s="7" t="str">
        <f>HYPERLINK("","")</f>
        <v/>
      </c>
    </row>
    <row r="254" ht="15.75" spans="1:54">
      <c r="A254" s="2" t="s">
        <v>868</v>
      </c>
      <c r="B254" s="3" t="s">
        <v>63</v>
      </c>
      <c r="C254" s="2" t="s">
        <v>862</v>
      </c>
      <c r="D254" s="2">
        <v>2.05</v>
      </c>
      <c r="E254" s="2" t="s">
        <v>63</v>
      </c>
      <c r="F254" s="2" t="s">
        <v>91</v>
      </c>
      <c r="G254" s="2" t="s">
        <v>67</v>
      </c>
      <c r="H254" s="2" t="s">
        <v>68</v>
      </c>
      <c r="I254" s="2" t="s">
        <v>68</v>
      </c>
      <c r="J254" s="2" t="s">
        <v>70</v>
      </c>
      <c r="L254" s="2" t="s">
        <v>869</v>
      </c>
      <c r="O254" t="s">
        <v>72</v>
      </c>
      <c r="P254" s="2">
        <v>571301026</v>
      </c>
      <c r="R254" s="2">
        <v>15500</v>
      </c>
      <c r="S254" s="4">
        <f t="shared" si="6"/>
        <v>31775</v>
      </c>
      <c r="T254" s="4">
        <v>-97</v>
      </c>
      <c r="U254" s="4">
        <f t="shared" si="7"/>
        <v>953.25</v>
      </c>
      <c r="V254" s="5">
        <v>0.598</v>
      </c>
      <c r="W254" s="6">
        <v>0.63</v>
      </c>
      <c r="AU254" s="3" t="s">
        <v>73</v>
      </c>
      <c r="AW254" s="2" t="s">
        <v>93</v>
      </c>
      <c r="AZ254" t="s">
        <v>870</v>
      </c>
      <c r="BB254" s="7" t="str">
        <f>HYPERLINK("https://v360.in/diamondview.aspx?cid=preet&amp;d=HN-141-29","https://v360.in/diamondview.aspx?cid=preet&amp;d=HN-141-29")</f>
        <v>https://v360.in/diamondview.aspx?cid=preet&amp;d=HN-141-29</v>
      </c>
    </row>
    <row r="255" ht="15.75" spans="1:54">
      <c r="A255" s="2" t="s">
        <v>871</v>
      </c>
      <c r="B255" s="3" t="s">
        <v>63</v>
      </c>
      <c r="C255" s="2" t="s">
        <v>862</v>
      </c>
      <c r="D255" s="2">
        <v>2.05</v>
      </c>
      <c r="E255" s="2" t="s">
        <v>81</v>
      </c>
      <c r="F255" s="2" t="s">
        <v>91</v>
      </c>
      <c r="G255" s="2" t="s">
        <v>67</v>
      </c>
      <c r="H255" s="2" t="s">
        <v>68</v>
      </c>
      <c r="I255" s="2" t="s">
        <v>68</v>
      </c>
      <c r="J255" s="2" t="s">
        <v>70</v>
      </c>
      <c r="L255" s="2" t="s">
        <v>872</v>
      </c>
      <c r="O255" t="s">
        <v>72</v>
      </c>
      <c r="P255" s="2">
        <v>523279513</v>
      </c>
      <c r="R255" s="2">
        <v>13000</v>
      </c>
      <c r="S255" s="4">
        <f t="shared" si="6"/>
        <v>26650</v>
      </c>
      <c r="T255" s="4">
        <v>-97</v>
      </c>
      <c r="U255" s="4">
        <f t="shared" si="7"/>
        <v>799.5</v>
      </c>
      <c r="V255" s="2">
        <v>64</v>
      </c>
      <c r="W255" s="5">
        <v>0.625</v>
      </c>
      <c r="AU255" s="3" t="s">
        <v>73</v>
      </c>
      <c r="AW255" s="2" t="s">
        <v>74</v>
      </c>
      <c r="AZ255" t="s">
        <v>873</v>
      </c>
      <c r="BB255" s="7" t="str">
        <f>HYPERLINK("https://view.gem360.in/gem360/2304220820-HN52-21/gem360-2304220820-HN52-21.html","https://view.gem360.in/gem360/2304220820-HN52-21/gem360-2304220820-HN52-21.html")</f>
        <v>https://view.gem360.in/gem360/2304220820-HN52-21/gem360-2304220820-HN52-21.html</v>
      </c>
    </row>
    <row r="256" ht="15.75" spans="1:54">
      <c r="A256" s="2" t="s">
        <v>874</v>
      </c>
      <c r="B256" s="3" t="s">
        <v>63</v>
      </c>
      <c r="C256" s="2" t="s">
        <v>862</v>
      </c>
      <c r="D256" s="2">
        <v>2.01</v>
      </c>
      <c r="E256" s="2" t="s">
        <v>63</v>
      </c>
      <c r="F256" s="2" t="s">
        <v>66</v>
      </c>
      <c r="G256" s="2" t="s">
        <v>67</v>
      </c>
      <c r="H256" s="2" t="s">
        <v>68</v>
      </c>
      <c r="I256" s="2" t="s">
        <v>68</v>
      </c>
      <c r="J256" s="2" t="s">
        <v>70</v>
      </c>
      <c r="L256" s="2" t="s">
        <v>875</v>
      </c>
      <c r="O256" t="s">
        <v>72</v>
      </c>
      <c r="P256" s="2">
        <v>520212208</v>
      </c>
      <c r="R256" s="2">
        <v>14500</v>
      </c>
      <c r="S256" s="4">
        <f t="shared" si="6"/>
        <v>29145</v>
      </c>
      <c r="T256" s="4">
        <v>-97</v>
      </c>
      <c r="U256" s="4">
        <f t="shared" si="7"/>
        <v>874.35</v>
      </c>
      <c r="V256" s="5">
        <v>0.646</v>
      </c>
      <c r="W256" s="5">
        <v>0.585</v>
      </c>
      <c r="AU256" s="3" t="s">
        <v>73</v>
      </c>
      <c r="AW256" s="2" t="s">
        <v>74</v>
      </c>
      <c r="AZ256" t="s">
        <v>876</v>
      </c>
      <c r="BB256" s="7" t="str">
        <f>HYPERLINK("https://view.gem360.in/gem360/0504220802-HN52-56/gem360-0504220802-HN52-56.html","https://view.gem360.in/gem360/0504220802-HN52-56/gem360-0504220802-HN52-56.html")</f>
        <v>https://view.gem360.in/gem360/0504220802-HN52-56/gem360-0504220802-HN52-56.html</v>
      </c>
    </row>
    <row r="257" ht="15.75" spans="1:54">
      <c r="A257" s="2" t="s">
        <v>877</v>
      </c>
      <c r="B257" s="3" t="s">
        <v>63</v>
      </c>
      <c r="C257" s="2" t="s">
        <v>862</v>
      </c>
      <c r="D257" s="2">
        <v>1.6</v>
      </c>
      <c r="E257" s="2" t="s">
        <v>63</v>
      </c>
      <c r="F257" s="2" t="s">
        <v>91</v>
      </c>
      <c r="G257" s="2" t="s">
        <v>67</v>
      </c>
      <c r="H257" s="2" t="s">
        <v>68</v>
      </c>
      <c r="I257" s="2" t="s">
        <v>68</v>
      </c>
      <c r="J257" s="2" t="s">
        <v>70</v>
      </c>
      <c r="L257" s="2" t="s">
        <v>878</v>
      </c>
      <c r="O257" t="s">
        <v>72</v>
      </c>
      <c r="P257" s="2">
        <v>561278583</v>
      </c>
      <c r="R257" s="2">
        <v>11200</v>
      </c>
      <c r="S257" s="4">
        <f t="shared" si="6"/>
        <v>17920</v>
      </c>
      <c r="T257" s="4">
        <v>-97</v>
      </c>
      <c r="U257" s="4">
        <f t="shared" si="7"/>
        <v>537.6</v>
      </c>
      <c r="V257" s="5">
        <v>0.605</v>
      </c>
      <c r="W257" s="5">
        <v>0.655</v>
      </c>
      <c r="AU257" s="3" t="s">
        <v>73</v>
      </c>
      <c r="AW257" s="2" t="s">
        <v>93</v>
      </c>
      <c r="AZ257" t="s">
        <v>879</v>
      </c>
      <c r="BB257" s="7" t="str">
        <f>HYPERLINK("https://v360.in/diamondview.aspx?cid=preet&amp;d=HN-130-38","https://v360.in/diamondview.aspx?cid=preet&amp;d=HN-130-38")</f>
        <v>https://v360.in/diamondview.aspx?cid=preet&amp;d=HN-130-38</v>
      </c>
    </row>
    <row r="258" ht="15.75" spans="1:54">
      <c r="A258" s="2" t="s">
        <v>880</v>
      </c>
      <c r="B258" s="3" t="s">
        <v>63</v>
      </c>
      <c r="C258" s="2" t="s">
        <v>862</v>
      </c>
      <c r="D258" s="2">
        <v>1.58</v>
      </c>
      <c r="E258" s="2" t="s">
        <v>65</v>
      </c>
      <c r="F258" s="2" t="s">
        <v>91</v>
      </c>
      <c r="G258" s="2" t="s">
        <v>67</v>
      </c>
      <c r="H258" s="2" t="s">
        <v>68</v>
      </c>
      <c r="I258" s="2" t="s">
        <v>68</v>
      </c>
      <c r="J258" s="2" t="s">
        <v>70</v>
      </c>
      <c r="L258" s="2" t="s">
        <v>881</v>
      </c>
      <c r="O258" t="s">
        <v>72</v>
      </c>
      <c r="P258" s="2">
        <v>570376241</v>
      </c>
      <c r="R258" s="2">
        <v>12200</v>
      </c>
      <c r="S258" s="4">
        <f t="shared" si="6"/>
        <v>19276</v>
      </c>
      <c r="T258" s="4">
        <v>-97</v>
      </c>
      <c r="U258" s="4">
        <f t="shared" si="7"/>
        <v>578.28</v>
      </c>
      <c r="V258" s="5">
        <v>0.621</v>
      </c>
      <c r="W258" s="6">
        <v>0.58</v>
      </c>
      <c r="AU258" s="3" t="s">
        <v>73</v>
      </c>
      <c r="AW258" s="2" t="s">
        <v>93</v>
      </c>
      <c r="AZ258" t="s">
        <v>882</v>
      </c>
      <c r="BB258" s="7" t="str">
        <f>HYPERLINK("https://v360.in/diamondview.aspx?cid=preet&amp;d=HN-142-21","https://v360.in/diamondview.aspx?cid=preet&amp;d=HN-142-21")</f>
        <v>https://v360.in/diamondview.aspx?cid=preet&amp;d=HN-142-21</v>
      </c>
    </row>
    <row r="259" ht="15.75" spans="1:54">
      <c r="A259" s="2" t="s">
        <v>883</v>
      </c>
      <c r="B259" s="3" t="s">
        <v>63</v>
      </c>
      <c r="C259" s="2" t="s">
        <v>862</v>
      </c>
      <c r="D259" s="2">
        <v>1.5</v>
      </c>
      <c r="E259" s="2" t="s">
        <v>65</v>
      </c>
      <c r="F259" s="2" t="s">
        <v>155</v>
      </c>
      <c r="G259" s="2" t="s">
        <v>67</v>
      </c>
      <c r="H259" s="2" t="s">
        <v>68</v>
      </c>
      <c r="I259" s="2" t="s">
        <v>69</v>
      </c>
      <c r="J259" s="2" t="s">
        <v>70</v>
      </c>
      <c r="L259" s="2" t="s">
        <v>884</v>
      </c>
      <c r="O259" t="s">
        <v>72</v>
      </c>
      <c r="P259" s="2">
        <v>553219359</v>
      </c>
      <c r="R259" s="2">
        <v>9900</v>
      </c>
      <c r="S259" s="4">
        <f t="shared" ref="S259:S322" si="8">R259*D259</f>
        <v>14850</v>
      </c>
      <c r="T259" s="4">
        <v>-97</v>
      </c>
      <c r="U259" s="4">
        <f t="shared" ref="U259:U322" si="9">(R259+(R259*T259)/100)*D259</f>
        <v>445.5</v>
      </c>
      <c r="V259" s="5">
        <v>0.651</v>
      </c>
      <c r="W259" s="6">
        <v>0.56</v>
      </c>
      <c r="AU259" s="3" t="s">
        <v>73</v>
      </c>
      <c r="AW259" s="2" t="s">
        <v>74</v>
      </c>
      <c r="AZ259" t="s">
        <v>885</v>
      </c>
      <c r="BB259" s="7" t="str">
        <f>HYPERLINK("https://v360.in/diamondview.aspx?cid=preet&amp;d=HN-128-31","https://v360.in/diamondview.aspx?cid=preet&amp;d=HN-128-31")</f>
        <v>https://v360.in/diamondview.aspx?cid=preet&amp;d=HN-128-31</v>
      </c>
    </row>
    <row r="260" ht="15.75" spans="1:54">
      <c r="A260" s="2" t="s">
        <v>886</v>
      </c>
      <c r="B260" s="3" t="s">
        <v>63</v>
      </c>
      <c r="C260" s="2" t="s">
        <v>862</v>
      </c>
      <c r="D260" s="2">
        <v>1.44</v>
      </c>
      <c r="E260" s="2" t="s">
        <v>63</v>
      </c>
      <c r="F260" s="2" t="s">
        <v>66</v>
      </c>
      <c r="G260" s="2" t="s">
        <v>67</v>
      </c>
      <c r="H260" s="2" t="s">
        <v>68</v>
      </c>
      <c r="I260" s="2" t="s">
        <v>68</v>
      </c>
      <c r="J260" s="2" t="s">
        <v>70</v>
      </c>
      <c r="L260" s="2" t="s">
        <v>887</v>
      </c>
      <c r="O260" t="s">
        <v>72</v>
      </c>
      <c r="P260" s="2">
        <v>524248718</v>
      </c>
      <c r="R260" s="2">
        <v>6600</v>
      </c>
      <c r="S260" s="4">
        <f t="shared" si="8"/>
        <v>9504</v>
      </c>
      <c r="T260" s="4">
        <v>-97</v>
      </c>
      <c r="U260" s="4">
        <f t="shared" si="9"/>
        <v>285.12</v>
      </c>
      <c r="V260" s="5">
        <v>0.604</v>
      </c>
      <c r="W260" s="5">
        <v>0.655</v>
      </c>
      <c r="AU260" s="3" t="s">
        <v>73</v>
      </c>
      <c r="AW260" s="2" t="s">
        <v>74</v>
      </c>
      <c r="AZ260" t="s">
        <v>888</v>
      </c>
      <c r="BB260" s="7" t="str">
        <f>HYPERLINK("https://view.gem360.in/gem360/1105220629-HN43-152/gem360-1105220629-HN43-152.html","https://view.gem360.in/gem360/1105220629-HN43-152/gem360-1105220629-HN43-152.html")</f>
        <v>https://view.gem360.in/gem360/1105220629-HN43-152/gem360-1105220629-HN43-152.html</v>
      </c>
    </row>
    <row r="261" ht="15.75" spans="1:54">
      <c r="A261" s="2" t="s">
        <v>889</v>
      </c>
      <c r="B261" s="3" t="s">
        <v>63</v>
      </c>
      <c r="C261" s="2" t="s">
        <v>862</v>
      </c>
      <c r="D261" s="2">
        <v>1.2</v>
      </c>
      <c r="E261" s="2" t="s">
        <v>63</v>
      </c>
      <c r="F261" s="2" t="s">
        <v>143</v>
      </c>
      <c r="G261" s="2" t="s">
        <v>67</v>
      </c>
      <c r="H261" s="2" t="s">
        <v>68</v>
      </c>
      <c r="I261" s="2" t="s">
        <v>68</v>
      </c>
      <c r="J261" s="2" t="s">
        <v>70</v>
      </c>
      <c r="L261" s="2" t="s">
        <v>890</v>
      </c>
      <c r="O261" t="s">
        <v>72</v>
      </c>
      <c r="P261" s="2">
        <v>526286732</v>
      </c>
      <c r="R261" s="2">
        <v>7300</v>
      </c>
      <c r="S261" s="4">
        <f t="shared" si="8"/>
        <v>8760</v>
      </c>
      <c r="T261" s="4">
        <v>-97</v>
      </c>
      <c r="U261" s="4">
        <f t="shared" si="9"/>
        <v>262.8</v>
      </c>
      <c r="V261" s="5">
        <v>0.577</v>
      </c>
      <c r="W261" s="5">
        <v>0.655</v>
      </c>
      <c r="AU261" s="3" t="s">
        <v>73</v>
      </c>
      <c r="AW261" s="2" t="s">
        <v>74</v>
      </c>
      <c r="AZ261" t="s">
        <v>891</v>
      </c>
      <c r="BB261" s="7" t="str">
        <f>HYPERLINK("","")</f>
        <v/>
      </c>
    </row>
    <row r="262" ht="15.75" spans="1:54">
      <c r="A262" s="2" t="s">
        <v>892</v>
      </c>
      <c r="B262" s="3" t="s">
        <v>63</v>
      </c>
      <c r="C262" s="2" t="s">
        <v>862</v>
      </c>
      <c r="D262" s="2">
        <v>1.19</v>
      </c>
      <c r="E262" s="2" t="s">
        <v>65</v>
      </c>
      <c r="F262" s="2" t="s">
        <v>143</v>
      </c>
      <c r="G262" s="2" t="s">
        <v>67</v>
      </c>
      <c r="H262" s="2" t="s">
        <v>68</v>
      </c>
      <c r="I262" s="2" t="s">
        <v>68</v>
      </c>
      <c r="J262" s="2" t="s">
        <v>70</v>
      </c>
      <c r="L262" s="2" t="s">
        <v>893</v>
      </c>
      <c r="O262" t="s">
        <v>72</v>
      </c>
      <c r="P262" s="2">
        <v>570376242</v>
      </c>
      <c r="R262" s="2">
        <v>8000</v>
      </c>
      <c r="S262" s="4">
        <f t="shared" si="8"/>
        <v>9520</v>
      </c>
      <c r="T262" s="4">
        <v>-97</v>
      </c>
      <c r="U262" s="4">
        <f t="shared" si="9"/>
        <v>285.6</v>
      </c>
      <c r="V262" s="5">
        <v>0.592</v>
      </c>
      <c r="W262" s="5">
        <v>0.585</v>
      </c>
      <c r="AU262" s="3" t="s">
        <v>73</v>
      </c>
      <c r="AW262" s="2" t="s">
        <v>93</v>
      </c>
      <c r="AZ262" t="s">
        <v>894</v>
      </c>
      <c r="BB262" s="7" t="str">
        <f>HYPERLINK("https://v360.in/diamondview.aspx?cid=preet&amp;d=HN-142-20","https://v360.in/diamondview.aspx?cid=preet&amp;d=HN-142-20")</f>
        <v>https://v360.in/diamondview.aspx?cid=preet&amp;d=HN-142-20</v>
      </c>
    </row>
    <row r="263" ht="15.75" spans="1:54">
      <c r="A263" s="2" t="s">
        <v>895</v>
      </c>
      <c r="B263" s="3" t="s">
        <v>63</v>
      </c>
      <c r="C263" s="2" t="s">
        <v>862</v>
      </c>
      <c r="D263" s="2">
        <v>1.15</v>
      </c>
      <c r="E263" s="2" t="s">
        <v>65</v>
      </c>
      <c r="F263" s="2" t="s">
        <v>91</v>
      </c>
      <c r="G263" s="2" t="s">
        <v>67</v>
      </c>
      <c r="H263" s="2" t="s">
        <v>68</v>
      </c>
      <c r="I263" s="2" t="s">
        <v>68</v>
      </c>
      <c r="J263" s="2" t="s">
        <v>70</v>
      </c>
      <c r="L263" s="2" t="s">
        <v>896</v>
      </c>
      <c r="O263" t="s">
        <v>72</v>
      </c>
      <c r="P263" s="2">
        <v>569328551</v>
      </c>
      <c r="R263" s="2">
        <v>7500</v>
      </c>
      <c r="S263" s="4">
        <f t="shared" si="8"/>
        <v>8625</v>
      </c>
      <c r="T263" s="4">
        <v>-97</v>
      </c>
      <c r="U263" s="4">
        <f t="shared" si="9"/>
        <v>258.75</v>
      </c>
      <c r="V263" s="5">
        <v>0.606</v>
      </c>
      <c r="W263" s="5">
        <v>0.585</v>
      </c>
      <c r="AU263" s="3" t="s">
        <v>73</v>
      </c>
      <c r="AW263" s="2" t="s">
        <v>93</v>
      </c>
      <c r="AZ263" t="s">
        <v>897</v>
      </c>
      <c r="BB263" s="7" t="str">
        <f>HYPERLINK("https://v360.in/diamondview.aspx?cid=preet&amp;d=HN-137-27","https://v360.in/diamondview.aspx?cid=preet&amp;d=HN-137-27")</f>
        <v>https://v360.in/diamondview.aspx?cid=preet&amp;d=HN-137-27</v>
      </c>
    </row>
    <row r="264" ht="15.75" spans="1:54">
      <c r="A264" s="2" t="s">
        <v>898</v>
      </c>
      <c r="B264" s="3" t="s">
        <v>63</v>
      </c>
      <c r="C264" s="2" t="s">
        <v>862</v>
      </c>
      <c r="D264" s="2">
        <v>1.12</v>
      </c>
      <c r="E264" s="2" t="s">
        <v>81</v>
      </c>
      <c r="F264" s="2" t="s">
        <v>66</v>
      </c>
      <c r="G264" s="2" t="s">
        <v>67</v>
      </c>
      <c r="H264" s="2" t="s">
        <v>68</v>
      </c>
      <c r="I264" s="2" t="s">
        <v>68</v>
      </c>
      <c r="J264" s="2" t="s">
        <v>70</v>
      </c>
      <c r="L264" s="2" t="s">
        <v>899</v>
      </c>
      <c r="O264" t="s">
        <v>72</v>
      </c>
      <c r="P264" s="2">
        <v>524248719</v>
      </c>
      <c r="R264" s="2">
        <v>5700</v>
      </c>
      <c r="S264" s="4">
        <f t="shared" si="8"/>
        <v>6384</v>
      </c>
      <c r="T264" s="4">
        <v>-97</v>
      </c>
      <c r="U264" s="4">
        <f t="shared" si="9"/>
        <v>191.52</v>
      </c>
      <c r="V264" s="5">
        <v>0.584</v>
      </c>
      <c r="W264" s="5">
        <v>0.625</v>
      </c>
      <c r="AU264" s="3" t="s">
        <v>73</v>
      </c>
      <c r="AW264" s="2" t="s">
        <v>74</v>
      </c>
      <c r="AZ264" t="s">
        <v>900</v>
      </c>
      <c r="BB264" s="7" t="str">
        <f>HYPERLINK("https://view.gem360.in/gem360/1105220634-HN43-151/gem360-1105220634-HN43-151.html","https://view.gem360.in/gem360/1105220634-HN43-151/gem360-1105220634-HN43-151.html")</f>
        <v>https://view.gem360.in/gem360/1105220634-HN43-151/gem360-1105220634-HN43-151.html</v>
      </c>
    </row>
    <row r="265" ht="15.75" spans="1:54">
      <c r="A265" s="2" t="s">
        <v>901</v>
      </c>
      <c r="B265" s="3" t="s">
        <v>63</v>
      </c>
      <c r="C265" s="2" t="s">
        <v>862</v>
      </c>
      <c r="D265" s="2">
        <v>1.11</v>
      </c>
      <c r="E265" s="2" t="s">
        <v>63</v>
      </c>
      <c r="F265" s="2" t="s">
        <v>91</v>
      </c>
      <c r="G265" s="2" t="s">
        <v>67</v>
      </c>
      <c r="H265" s="2" t="s">
        <v>68</v>
      </c>
      <c r="I265" s="2" t="s">
        <v>68</v>
      </c>
      <c r="J265" s="2" t="s">
        <v>70</v>
      </c>
      <c r="L265" s="2" t="s">
        <v>902</v>
      </c>
      <c r="O265" t="s">
        <v>72</v>
      </c>
      <c r="P265" s="2">
        <v>524248667</v>
      </c>
      <c r="R265" s="2">
        <v>7000</v>
      </c>
      <c r="S265" s="4">
        <f t="shared" si="8"/>
        <v>7770</v>
      </c>
      <c r="T265" s="4">
        <v>-97</v>
      </c>
      <c r="U265" s="4">
        <f t="shared" si="9"/>
        <v>233.1</v>
      </c>
      <c r="V265" s="6">
        <v>0.63</v>
      </c>
      <c r="W265" s="6">
        <v>0.6</v>
      </c>
      <c r="AU265" s="3" t="s">
        <v>73</v>
      </c>
      <c r="AW265" s="2" t="s">
        <v>74</v>
      </c>
      <c r="AZ265" t="s">
        <v>903</v>
      </c>
      <c r="BB265" s="7" t="str">
        <f>HYPERLINK("https://view.gem360.in/gem360/0905220624-HN43-150/gem360-0905220624-HN43-150.html","https://view.gem360.in/gem360/0905220624-HN43-150/gem360-0905220624-HN43-150.html")</f>
        <v>https://view.gem360.in/gem360/0905220624-HN43-150/gem360-0905220624-HN43-150.html</v>
      </c>
    </row>
    <row r="266" ht="15.75" spans="1:54">
      <c r="A266" s="2" t="s">
        <v>904</v>
      </c>
      <c r="B266" s="3" t="s">
        <v>63</v>
      </c>
      <c r="C266" s="2" t="s">
        <v>862</v>
      </c>
      <c r="D266" s="2">
        <v>1.1</v>
      </c>
      <c r="E266" s="2" t="s">
        <v>65</v>
      </c>
      <c r="F266" s="2" t="s">
        <v>66</v>
      </c>
      <c r="G266" s="2" t="s">
        <v>67</v>
      </c>
      <c r="H266" s="2" t="s">
        <v>68</v>
      </c>
      <c r="I266" s="2" t="s">
        <v>68</v>
      </c>
      <c r="J266" s="2" t="s">
        <v>70</v>
      </c>
      <c r="L266" s="2" t="s">
        <v>905</v>
      </c>
      <c r="O266" t="s">
        <v>72</v>
      </c>
      <c r="P266" s="2">
        <v>529266452</v>
      </c>
      <c r="R266" s="2">
        <v>6900</v>
      </c>
      <c r="S266" s="4">
        <f t="shared" si="8"/>
        <v>7590</v>
      </c>
      <c r="T266" s="4">
        <v>-97</v>
      </c>
      <c r="U266" s="4">
        <f t="shared" si="9"/>
        <v>227.7</v>
      </c>
      <c r="V266" s="6">
        <v>0.64</v>
      </c>
      <c r="W266" s="5">
        <v>0.595</v>
      </c>
      <c r="AU266" s="3" t="s">
        <v>73</v>
      </c>
      <c r="AW266" s="2" t="s">
        <v>74</v>
      </c>
      <c r="AZ266" t="s">
        <v>906</v>
      </c>
      <c r="BB266" s="7" t="str">
        <f>HYPERLINK("","")</f>
        <v/>
      </c>
    </row>
    <row r="267" ht="15.75" spans="1:54">
      <c r="A267" s="2" t="s">
        <v>907</v>
      </c>
      <c r="B267" s="3" t="s">
        <v>63</v>
      </c>
      <c r="C267" s="2" t="s">
        <v>862</v>
      </c>
      <c r="D267" s="2">
        <v>1.04</v>
      </c>
      <c r="E267" s="2" t="s">
        <v>908</v>
      </c>
      <c r="F267" s="2" t="s">
        <v>91</v>
      </c>
      <c r="G267" s="2" t="s">
        <v>67</v>
      </c>
      <c r="H267" s="2" t="s">
        <v>68</v>
      </c>
      <c r="I267" s="2" t="s">
        <v>68</v>
      </c>
      <c r="J267" s="2" t="s">
        <v>70</v>
      </c>
      <c r="L267" s="2" t="s">
        <v>909</v>
      </c>
      <c r="O267" t="s">
        <v>72</v>
      </c>
      <c r="P267" s="2">
        <v>528205265</v>
      </c>
      <c r="R267" s="2">
        <v>4200</v>
      </c>
      <c r="S267" s="4">
        <f t="shared" si="8"/>
        <v>4368</v>
      </c>
      <c r="T267" s="4">
        <v>-97</v>
      </c>
      <c r="U267" s="4">
        <f t="shared" si="9"/>
        <v>131.04</v>
      </c>
      <c r="V267" s="5">
        <v>0.633</v>
      </c>
      <c r="W267" s="6">
        <v>0.56</v>
      </c>
      <c r="AU267" s="3" t="s">
        <v>73</v>
      </c>
      <c r="AW267" s="2" t="s">
        <v>74</v>
      </c>
      <c r="AZ267" t="s">
        <v>910</v>
      </c>
      <c r="BB267" s="7" t="str">
        <f>HYPERLINK("https://view.gem360.in/gem360/2005221002-HN44-8/gem360-2005221002-HN44-8.html","https://view.gem360.in/gem360/2005221002-HN44-8/gem360-2005221002-HN44-8.html")</f>
        <v>https://view.gem360.in/gem360/2005221002-HN44-8/gem360-2005221002-HN44-8.html</v>
      </c>
    </row>
    <row r="268" ht="15.75" spans="1:54">
      <c r="A268" s="2" t="s">
        <v>911</v>
      </c>
      <c r="B268" s="3" t="s">
        <v>63</v>
      </c>
      <c r="C268" s="2" t="s">
        <v>862</v>
      </c>
      <c r="D268" s="2">
        <v>1.02</v>
      </c>
      <c r="E268" s="2" t="s">
        <v>65</v>
      </c>
      <c r="F268" s="2" t="s">
        <v>143</v>
      </c>
      <c r="G268" s="2" t="s">
        <v>67</v>
      </c>
      <c r="H268" s="2" t="s">
        <v>68</v>
      </c>
      <c r="I268" s="2" t="s">
        <v>69</v>
      </c>
      <c r="J268" s="2" t="s">
        <v>70</v>
      </c>
      <c r="L268" s="2" t="s">
        <v>912</v>
      </c>
      <c r="O268" t="s">
        <v>72</v>
      </c>
      <c r="P268" s="2">
        <v>564365289</v>
      </c>
      <c r="R268" s="2">
        <v>8000</v>
      </c>
      <c r="S268" s="4">
        <f t="shared" si="8"/>
        <v>8160</v>
      </c>
      <c r="T268" s="4">
        <v>-97</v>
      </c>
      <c r="U268" s="4">
        <f t="shared" si="9"/>
        <v>244.8</v>
      </c>
      <c r="V268" s="5">
        <v>0.604</v>
      </c>
      <c r="W268" s="2">
        <v>62</v>
      </c>
      <c r="AU268" s="3" t="s">
        <v>73</v>
      </c>
      <c r="AW268" s="2" t="s">
        <v>93</v>
      </c>
      <c r="AZ268" t="s">
        <v>913</v>
      </c>
      <c r="BB268" s="7" t="str">
        <f>HYPERLINK("https://v360.in/diamondview.aspx?cid=preet&amp;d=HN-134-1","https://v360.in/diamondview.aspx?cid=preet&amp;d=HN-134-1")</f>
        <v>https://v360.in/diamondview.aspx?cid=preet&amp;d=HN-134-1</v>
      </c>
    </row>
    <row r="269" ht="15.75" spans="1:54">
      <c r="A269" s="2" t="s">
        <v>914</v>
      </c>
      <c r="B269" s="3" t="s">
        <v>63</v>
      </c>
      <c r="C269" s="2" t="s">
        <v>862</v>
      </c>
      <c r="D269" s="2">
        <v>1.02</v>
      </c>
      <c r="E269" s="2" t="s">
        <v>65</v>
      </c>
      <c r="F269" s="2" t="s">
        <v>155</v>
      </c>
      <c r="G269" s="2" t="s">
        <v>67</v>
      </c>
      <c r="H269" s="2" t="s">
        <v>68</v>
      </c>
      <c r="I269" s="2" t="s">
        <v>68</v>
      </c>
      <c r="J269" s="2" t="s">
        <v>70</v>
      </c>
      <c r="L269" s="2" t="s">
        <v>915</v>
      </c>
      <c r="O269" t="s">
        <v>72</v>
      </c>
      <c r="P269" s="2">
        <v>567356449</v>
      </c>
      <c r="R269" s="2">
        <v>5700</v>
      </c>
      <c r="S269" s="4">
        <f t="shared" si="8"/>
        <v>5814</v>
      </c>
      <c r="T269" s="4">
        <v>-97</v>
      </c>
      <c r="U269" s="4">
        <f t="shared" si="9"/>
        <v>174.42</v>
      </c>
      <c r="V269" s="5">
        <v>0.613</v>
      </c>
      <c r="W269" s="5">
        <v>0.575</v>
      </c>
      <c r="AU269" s="3" t="s">
        <v>73</v>
      </c>
      <c r="AW269" s="2" t="s">
        <v>93</v>
      </c>
      <c r="AZ269" t="s">
        <v>916</v>
      </c>
      <c r="BB269" s="7" t="str">
        <f>HYPERLINK("https://v360.in/diamondview.aspx?cid=preet&amp;d=HN-136-20","https://v360.in/diamondview.aspx?cid=preet&amp;d=HN-136-20")</f>
        <v>https://v360.in/diamondview.aspx?cid=preet&amp;d=HN-136-20</v>
      </c>
    </row>
    <row r="270" ht="15.75" spans="1:54">
      <c r="A270" s="2" t="s">
        <v>917</v>
      </c>
      <c r="B270" s="3" t="s">
        <v>63</v>
      </c>
      <c r="C270" s="2" t="s">
        <v>862</v>
      </c>
      <c r="D270" s="2">
        <v>1.02</v>
      </c>
      <c r="E270" s="2" t="s">
        <v>63</v>
      </c>
      <c r="F270" s="2" t="s">
        <v>66</v>
      </c>
      <c r="G270" s="2" t="s">
        <v>67</v>
      </c>
      <c r="H270" s="2" t="s">
        <v>68</v>
      </c>
      <c r="I270" s="2" t="s">
        <v>68</v>
      </c>
      <c r="J270" s="2" t="s">
        <v>70</v>
      </c>
      <c r="L270" s="2" t="s">
        <v>918</v>
      </c>
      <c r="O270" t="s">
        <v>72</v>
      </c>
      <c r="P270" s="2">
        <v>524248662</v>
      </c>
      <c r="R270" s="2">
        <v>6600</v>
      </c>
      <c r="S270" s="4">
        <f t="shared" si="8"/>
        <v>6732</v>
      </c>
      <c r="T270" s="4">
        <v>-97</v>
      </c>
      <c r="U270" s="4">
        <f t="shared" si="9"/>
        <v>201.96</v>
      </c>
      <c r="V270" s="5">
        <v>0.616</v>
      </c>
      <c r="W270" s="5">
        <v>0.585</v>
      </c>
      <c r="AU270" s="3" t="s">
        <v>73</v>
      </c>
      <c r="AW270" s="2" t="s">
        <v>74</v>
      </c>
      <c r="AZ270" t="s">
        <v>919</v>
      </c>
      <c r="BB270" s="7" t="str">
        <f>HYPERLINK("https://view.gem360.in/gem360/0905220620-HN40-121/gem360-0905220620-HN40-121.html","https://view.gem360.in/gem360/0905220620-HN40-121/gem360-0905220620-HN40-121.html")</f>
        <v>https://view.gem360.in/gem360/0905220620-HN40-121/gem360-0905220620-HN40-121.html</v>
      </c>
    </row>
    <row r="271" ht="15.75" spans="1:54">
      <c r="A271" s="2" t="s">
        <v>920</v>
      </c>
      <c r="B271" s="3" t="s">
        <v>63</v>
      </c>
      <c r="C271" s="2" t="s">
        <v>862</v>
      </c>
      <c r="D271" s="2">
        <v>1.01</v>
      </c>
      <c r="E271" s="2" t="s">
        <v>65</v>
      </c>
      <c r="F271" s="2" t="s">
        <v>91</v>
      </c>
      <c r="G271" s="2" t="s">
        <v>67</v>
      </c>
      <c r="H271" s="2" t="s">
        <v>68</v>
      </c>
      <c r="I271" s="2" t="s">
        <v>68</v>
      </c>
      <c r="J271" s="2" t="s">
        <v>70</v>
      </c>
      <c r="L271" s="2" t="s">
        <v>921</v>
      </c>
      <c r="O271" t="s">
        <v>72</v>
      </c>
      <c r="P271" s="2">
        <v>547266592</v>
      </c>
      <c r="R271" s="2">
        <v>7500</v>
      </c>
      <c r="S271" s="4">
        <f t="shared" si="8"/>
        <v>7575</v>
      </c>
      <c r="T271" s="4">
        <v>-97</v>
      </c>
      <c r="U271" s="4">
        <f t="shared" si="9"/>
        <v>227.25</v>
      </c>
      <c r="V271" s="5">
        <v>0.643</v>
      </c>
      <c r="W271" s="5">
        <v>0.615</v>
      </c>
      <c r="AU271" s="3" t="s">
        <v>73</v>
      </c>
      <c r="AW271" s="2" t="s">
        <v>74</v>
      </c>
      <c r="AZ271" t="s">
        <v>922</v>
      </c>
      <c r="BB271" s="7" t="str">
        <f>HYPERLINK("https://v360.in/diamondview.aspx?cid=meet&amp;d=HN-87-141","https://v360.in/diamondview.aspx?cid=meet&amp;d=HN-87-141")</f>
        <v>https://v360.in/diamondview.aspx?cid=meet&amp;d=HN-87-141</v>
      </c>
    </row>
    <row r="272" ht="15.75" spans="1:54">
      <c r="A272" s="2" t="s">
        <v>923</v>
      </c>
      <c r="B272" s="3" t="s">
        <v>63</v>
      </c>
      <c r="C272" s="2" t="s">
        <v>862</v>
      </c>
      <c r="D272" s="2">
        <v>1.01</v>
      </c>
      <c r="E272" s="2" t="s">
        <v>65</v>
      </c>
      <c r="F272" s="2" t="s">
        <v>91</v>
      </c>
      <c r="G272" s="2" t="s">
        <v>67</v>
      </c>
      <c r="H272" s="2" t="s">
        <v>68</v>
      </c>
      <c r="I272" s="2" t="s">
        <v>68</v>
      </c>
      <c r="J272" s="2" t="s">
        <v>70</v>
      </c>
      <c r="L272" s="2" t="s">
        <v>924</v>
      </c>
      <c r="O272" t="s">
        <v>72</v>
      </c>
      <c r="P272" s="2">
        <v>563201921</v>
      </c>
      <c r="R272" s="2">
        <v>7500</v>
      </c>
      <c r="S272" s="4">
        <f t="shared" si="8"/>
        <v>7575</v>
      </c>
      <c r="T272" s="4">
        <v>-97</v>
      </c>
      <c r="U272" s="4">
        <f t="shared" si="9"/>
        <v>227.25</v>
      </c>
      <c r="V272" s="5">
        <v>0.607</v>
      </c>
      <c r="W272" s="6">
        <v>0.61</v>
      </c>
      <c r="AU272" s="3" t="s">
        <v>73</v>
      </c>
      <c r="AW272" s="2" t="s">
        <v>93</v>
      </c>
      <c r="AZ272" t="s">
        <v>925</v>
      </c>
      <c r="BB272" s="7" t="str">
        <f>HYPERLINK("https://v360.in/diamondview.aspx?cid=preet&amp;d=HN-134-76","https://v360.in/diamondview.aspx?cid=preet&amp;d=HN-134-76")</f>
        <v>https://v360.in/diamondview.aspx?cid=preet&amp;d=HN-134-76</v>
      </c>
    </row>
    <row r="273" ht="15.75" spans="1:54">
      <c r="A273" s="2" t="s">
        <v>926</v>
      </c>
      <c r="B273" s="3" t="s">
        <v>63</v>
      </c>
      <c r="C273" s="2" t="s">
        <v>862</v>
      </c>
      <c r="D273" s="2">
        <v>1.01</v>
      </c>
      <c r="E273" s="2" t="s">
        <v>63</v>
      </c>
      <c r="F273" s="2" t="s">
        <v>143</v>
      </c>
      <c r="G273" s="2" t="s">
        <v>67</v>
      </c>
      <c r="H273" s="2" t="s">
        <v>68</v>
      </c>
      <c r="I273" s="2" t="s">
        <v>68</v>
      </c>
      <c r="J273" s="2" t="s">
        <v>70</v>
      </c>
      <c r="L273" s="2" t="s">
        <v>927</v>
      </c>
      <c r="O273" t="s">
        <v>72</v>
      </c>
      <c r="P273" s="2">
        <v>563211780</v>
      </c>
      <c r="R273" s="2">
        <v>7300</v>
      </c>
      <c r="S273" s="4">
        <f t="shared" si="8"/>
        <v>7373</v>
      </c>
      <c r="T273" s="4">
        <v>-97</v>
      </c>
      <c r="U273" s="4">
        <f t="shared" si="9"/>
        <v>221.19</v>
      </c>
      <c r="V273" s="6">
        <v>0.61</v>
      </c>
      <c r="W273" s="6">
        <v>0.56</v>
      </c>
      <c r="AU273" s="3" t="s">
        <v>73</v>
      </c>
      <c r="AW273" s="2" t="s">
        <v>93</v>
      </c>
      <c r="AZ273" t="s">
        <v>928</v>
      </c>
      <c r="BB273" s="7" t="str">
        <f>HYPERLINK("https://v360.in/diamondview.aspx?cid=preet&amp;d=HN-143-27","https://v360.in/diamondview.aspx?cid=preet&amp;d=HN-143-27")</f>
        <v>https://v360.in/diamondview.aspx?cid=preet&amp;d=HN-143-27</v>
      </c>
    </row>
    <row r="274" ht="15.75" spans="1:54">
      <c r="A274" s="2" t="s">
        <v>929</v>
      </c>
      <c r="B274" s="3" t="s">
        <v>63</v>
      </c>
      <c r="C274" s="2" t="s">
        <v>862</v>
      </c>
      <c r="D274" s="2">
        <v>1.01</v>
      </c>
      <c r="E274" s="2" t="s">
        <v>63</v>
      </c>
      <c r="F274" s="2" t="s">
        <v>155</v>
      </c>
      <c r="G274" s="2" t="s">
        <v>67</v>
      </c>
      <c r="H274" s="2" t="s">
        <v>68</v>
      </c>
      <c r="I274" s="2" t="s">
        <v>68</v>
      </c>
      <c r="J274" s="2" t="s">
        <v>70</v>
      </c>
      <c r="L274" s="2" t="s">
        <v>930</v>
      </c>
      <c r="O274" t="s">
        <v>72</v>
      </c>
      <c r="P274" s="2">
        <v>529266455</v>
      </c>
      <c r="R274" s="2">
        <v>5400</v>
      </c>
      <c r="S274" s="4">
        <f t="shared" si="8"/>
        <v>5454</v>
      </c>
      <c r="T274" s="4">
        <v>-97</v>
      </c>
      <c r="U274" s="4">
        <f t="shared" si="9"/>
        <v>163.62</v>
      </c>
      <c r="V274" s="5">
        <v>0.631</v>
      </c>
      <c r="W274" s="5">
        <v>0.595</v>
      </c>
      <c r="AU274" s="3" t="s">
        <v>73</v>
      </c>
      <c r="AW274" s="2" t="s">
        <v>74</v>
      </c>
      <c r="AZ274" t="s">
        <v>931</v>
      </c>
      <c r="BB274" s="7" t="str">
        <f>HYPERLINK("","")</f>
        <v/>
      </c>
    </row>
    <row r="275" ht="15.75" spans="1:54">
      <c r="A275" s="2" t="s">
        <v>932</v>
      </c>
      <c r="B275" s="3" t="s">
        <v>63</v>
      </c>
      <c r="C275" s="2" t="s">
        <v>862</v>
      </c>
      <c r="D275" s="2">
        <v>1</v>
      </c>
      <c r="E275" s="2" t="s">
        <v>65</v>
      </c>
      <c r="F275" s="2" t="s">
        <v>143</v>
      </c>
      <c r="G275" s="2" t="s">
        <v>67</v>
      </c>
      <c r="H275" s="2" t="s">
        <v>68</v>
      </c>
      <c r="I275" s="2" t="s">
        <v>69</v>
      </c>
      <c r="J275" s="2" t="s">
        <v>70</v>
      </c>
      <c r="L275" s="2" t="s">
        <v>933</v>
      </c>
      <c r="O275" t="s">
        <v>72</v>
      </c>
      <c r="P275" s="2">
        <v>571307677</v>
      </c>
      <c r="R275" s="2">
        <v>8000</v>
      </c>
      <c r="S275" s="4">
        <f t="shared" si="8"/>
        <v>8000</v>
      </c>
      <c r="T275" s="4">
        <v>-97</v>
      </c>
      <c r="U275" s="4">
        <f t="shared" si="9"/>
        <v>240</v>
      </c>
      <c r="V275" s="5">
        <v>0.583</v>
      </c>
      <c r="W275" s="6">
        <v>0.56</v>
      </c>
      <c r="AU275" s="3" t="s">
        <v>73</v>
      </c>
      <c r="AW275" s="2" t="s">
        <v>93</v>
      </c>
      <c r="AZ275" t="s">
        <v>934</v>
      </c>
      <c r="BB275" s="7" t="s">
        <v>935</v>
      </c>
    </row>
    <row r="276" ht="15.75" spans="1:54">
      <c r="A276" s="2" t="s">
        <v>936</v>
      </c>
      <c r="B276" s="3" t="s">
        <v>63</v>
      </c>
      <c r="C276" s="2" t="s">
        <v>862</v>
      </c>
      <c r="D276" s="2">
        <v>1</v>
      </c>
      <c r="E276" s="2" t="s">
        <v>65</v>
      </c>
      <c r="F276" s="2" t="s">
        <v>66</v>
      </c>
      <c r="G276" s="2" t="s">
        <v>67</v>
      </c>
      <c r="H276" s="2" t="s">
        <v>68</v>
      </c>
      <c r="I276" s="2" t="s">
        <v>68</v>
      </c>
      <c r="J276" s="2" t="s">
        <v>70</v>
      </c>
      <c r="L276" s="2" t="s">
        <v>937</v>
      </c>
      <c r="O276" t="s">
        <v>72</v>
      </c>
      <c r="P276" s="2">
        <v>553236905</v>
      </c>
      <c r="R276" s="2">
        <v>6900</v>
      </c>
      <c r="S276" s="4">
        <f t="shared" si="8"/>
        <v>6900</v>
      </c>
      <c r="T276" s="4">
        <v>-97</v>
      </c>
      <c r="U276" s="4">
        <f t="shared" si="9"/>
        <v>207</v>
      </c>
      <c r="V276" s="5">
        <v>0.625</v>
      </c>
      <c r="W276" s="6">
        <v>0.58</v>
      </c>
      <c r="AU276" s="3" t="s">
        <v>73</v>
      </c>
      <c r="AW276" s="2" t="s">
        <v>74</v>
      </c>
      <c r="AZ276" t="s">
        <v>938</v>
      </c>
      <c r="BB276" s="7" t="str">
        <f>HYPERLINK("https://v360.in/diamondview.aspx?cid=preet&amp;d=HN-127-10","https://v360.in/diamondview.aspx?cid=preet&amp;d=HN-127-10")</f>
        <v>https://v360.in/diamondview.aspx?cid=preet&amp;d=HN-127-10</v>
      </c>
    </row>
    <row r="277" ht="15.75" spans="1:54">
      <c r="A277" s="2" t="s">
        <v>939</v>
      </c>
      <c r="B277" s="3" t="s">
        <v>63</v>
      </c>
      <c r="C277" s="2" t="s">
        <v>862</v>
      </c>
      <c r="D277" s="2">
        <v>1</v>
      </c>
      <c r="E277" s="2" t="s">
        <v>65</v>
      </c>
      <c r="F277" s="2" t="s">
        <v>66</v>
      </c>
      <c r="G277" s="2" t="s">
        <v>67</v>
      </c>
      <c r="H277" s="2" t="s">
        <v>68</v>
      </c>
      <c r="I277" s="2" t="s">
        <v>68</v>
      </c>
      <c r="J277" s="2" t="s">
        <v>70</v>
      </c>
      <c r="L277" s="2" t="s">
        <v>940</v>
      </c>
      <c r="O277" t="s">
        <v>72</v>
      </c>
      <c r="P277" s="2">
        <v>559298603</v>
      </c>
      <c r="R277" s="2">
        <v>6900</v>
      </c>
      <c r="S277" s="4">
        <f t="shared" si="8"/>
        <v>6900</v>
      </c>
      <c r="T277" s="4">
        <v>-97</v>
      </c>
      <c r="U277" s="4">
        <f t="shared" si="9"/>
        <v>207</v>
      </c>
      <c r="V277" s="5">
        <v>0.636</v>
      </c>
      <c r="W277" s="5">
        <v>0.575</v>
      </c>
      <c r="AU277" s="3" t="s">
        <v>73</v>
      </c>
      <c r="AW277" s="2" t="s">
        <v>74</v>
      </c>
      <c r="AZ277" t="s">
        <v>941</v>
      </c>
      <c r="BB277" s="7" t="str">
        <f>HYPERLINK("https://v360.in/diamondview.aspx?cid=preet&amp;d=HN-129-38","https://v360.in/diamondview.aspx?cid=preet&amp;d=HN-129-38")</f>
        <v>https://v360.in/diamondview.aspx?cid=preet&amp;d=HN-129-38</v>
      </c>
    </row>
    <row r="278" ht="15.75" spans="1:54">
      <c r="A278" s="2" t="s">
        <v>942</v>
      </c>
      <c r="B278" s="3" t="s">
        <v>63</v>
      </c>
      <c r="C278" s="2" t="s">
        <v>862</v>
      </c>
      <c r="D278" s="2">
        <v>1</v>
      </c>
      <c r="E278" s="2" t="s">
        <v>65</v>
      </c>
      <c r="F278" s="2" t="s">
        <v>66</v>
      </c>
      <c r="G278" s="2" t="s">
        <v>67</v>
      </c>
      <c r="H278" s="2" t="s">
        <v>68</v>
      </c>
      <c r="I278" s="2" t="s">
        <v>68</v>
      </c>
      <c r="J278" s="2" t="s">
        <v>70</v>
      </c>
      <c r="L278" s="2" t="s">
        <v>943</v>
      </c>
      <c r="O278" t="s">
        <v>72</v>
      </c>
      <c r="P278" s="2">
        <v>570376243</v>
      </c>
      <c r="R278" s="2">
        <v>6900</v>
      </c>
      <c r="S278" s="4">
        <f t="shared" si="8"/>
        <v>6900</v>
      </c>
      <c r="T278" s="4">
        <v>-97</v>
      </c>
      <c r="U278" s="4">
        <f t="shared" si="9"/>
        <v>207</v>
      </c>
      <c r="V278" s="5">
        <v>0.613</v>
      </c>
      <c r="W278" s="6">
        <v>0.63</v>
      </c>
      <c r="AU278" s="3" t="s">
        <v>73</v>
      </c>
      <c r="AW278" s="2" t="s">
        <v>93</v>
      </c>
      <c r="AZ278" t="s">
        <v>944</v>
      </c>
      <c r="BB278" s="7" t="str">
        <f>HYPERLINK("https://v360.in/diamondview.aspx?cid=preet&amp;d=HN-142-19","https://v360.in/diamondview.aspx?cid=preet&amp;d=HN-142-19")</f>
        <v>https://v360.in/diamondview.aspx?cid=preet&amp;d=HN-142-19</v>
      </c>
    </row>
    <row r="279" ht="15.75" spans="1:54">
      <c r="A279" s="2" t="s">
        <v>945</v>
      </c>
      <c r="B279" s="3" t="s">
        <v>63</v>
      </c>
      <c r="C279" s="2" t="s">
        <v>862</v>
      </c>
      <c r="D279" s="2">
        <v>1</v>
      </c>
      <c r="E279" s="2" t="s">
        <v>65</v>
      </c>
      <c r="F279" s="2" t="s">
        <v>91</v>
      </c>
      <c r="G279" s="2" t="s">
        <v>67</v>
      </c>
      <c r="H279" s="2" t="s">
        <v>68</v>
      </c>
      <c r="I279" s="2" t="s">
        <v>68</v>
      </c>
      <c r="J279" s="2" t="s">
        <v>70</v>
      </c>
      <c r="L279" s="2" t="s">
        <v>946</v>
      </c>
      <c r="O279" t="s">
        <v>72</v>
      </c>
      <c r="P279" s="2">
        <v>560231303</v>
      </c>
      <c r="R279" s="2">
        <v>7500</v>
      </c>
      <c r="S279" s="4">
        <f t="shared" si="8"/>
        <v>7500</v>
      </c>
      <c r="T279" s="4">
        <v>-97</v>
      </c>
      <c r="U279" s="4">
        <f t="shared" si="9"/>
        <v>225</v>
      </c>
      <c r="V279" s="5">
        <v>0.604</v>
      </c>
      <c r="W279" s="2">
        <v>59</v>
      </c>
      <c r="AU279" s="3" t="s">
        <v>73</v>
      </c>
      <c r="AW279" s="2" t="s">
        <v>74</v>
      </c>
      <c r="AZ279" t="s">
        <v>947</v>
      </c>
      <c r="BB279" s="7" t="str">
        <f>HYPERLINK("https://v360.in/diamondview.aspx?cid=preet&amp;d=HN-129-50","https://v360.in/diamondview.aspx?cid=preet&amp;d=HN-129-50")</f>
        <v>https://v360.in/diamondview.aspx?cid=preet&amp;d=HN-129-50</v>
      </c>
    </row>
    <row r="280" ht="15.75" spans="1:54">
      <c r="A280" s="2" t="s">
        <v>948</v>
      </c>
      <c r="B280" s="3" t="s">
        <v>63</v>
      </c>
      <c r="C280" s="2" t="s">
        <v>862</v>
      </c>
      <c r="D280" s="2">
        <v>1</v>
      </c>
      <c r="E280" s="2" t="s">
        <v>65</v>
      </c>
      <c r="F280" s="2" t="s">
        <v>91</v>
      </c>
      <c r="G280" s="2" t="s">
        <v>67</v>
      </c>
      <c r="H280" s="2" t="s">
        <v>68</v>
      </c>
      <c r="I280" s="2" t="s">
        <v>68</v>
      </c>
      <c r="J280" s="2" t="s">
        <v>70</v>
      </c>
      <c r="L280" s="2" t="s">
        <v>949</v>
      </c>
      <c r="O280" t="s">
        <v>72</v>
      </c>
      <c r="P280" s="2">
        <v>553259904</v>
      </c>
      <c r="R280" s="2">
        <v>7500</v>
      </c>
      <c r="S280" s="4">
        <f t="shared" si="8"/>
        <v>7500</v>
      </c>
      <c r="T280" s="4">
        <v>-97</v>
      </c>
      <c r="U280" s="4">
        <f t="shared" si="9"/>
        <v>225</v>
      </c>
      <c r="V280" s="5">
        <v>0.614</v>
      </c>
      <c r="W280" s="5">
        <v>0.605</v>
      </c>
      <c r="AU280" s="3" t="s">
        <v>73</v>
      </c>
      <c r="AW280" s="2" t="s">
        <v>74</v>
      </c>
      <c r="AZ280" t="s">
        <v>950</v>
      </c>
      <c r="BB280" s="7" t="str">
        <f>HYPERLINK("https://v360.in/diamondview.aspx?cid=preet&amp;d=HN-128-49","https://v360.in/diamondview.aspx?cid=preet&amp;d=HN-128-49")</f>
        <v>https://v360.in/diamondview.aspx?cid=preet&amp;d=HN-128-49</v>
      </c>
    </row>
    <row r="281" ht="15.75" spans="1:54">
      <c r="A281" s="2" t="s">
        <v>951</v>
      </c>
      <c r="B281" s="3" t="s">
        <v>63</v>
      </c>
      <c r="C281" s="2" t="s">
        <v>862</v>
      </c>
      <c r="D281" s="2">
        <v>1</v>
      </c>
      <c r="E281" s="2" t="s">
        <v>65</v>
      </c>
      <c r="F281" s="2" t="s">
        <v>155</v>
      </c>
      <c r="G281" s="2" t="s">
        <v>67</v>
      </c>
      <c r="H281" s="2" t="s">
        <v>68</v>
      </c>
      <c r="I281" s="2" t="s">
        <v>68</v>
      </c>
      <c r="J281" s="2" t="s">
        <v>70</v>
      </c>
      <c r="L281" s="2" t="s">
        <v>952</v>
      </c>
      <c r="O281" t="s">
        <v>72</v>
      </c>
      <c r="P281" s="2">
        <v>553219360</v>
      </c>
      <c r="R281" s="2">
        <v>5700</v>
      </c>
      <c r="S281" s="4">
        <f t="shared" si="8"/>
        <v>5700</v>
      </c>
      <c r="T281" s="4">
        <v>-97</v>
      </c>
      <c r="U281" s="4">
        <f t="shared" si="9"/>
        <v>171</v>
      </c>
      <c r="V281" s="5">
        <v>0.623</v>
      </c>
      <c r="W281" s="5">
        <v>0.595</v>
      </c>
      <c r="AU281" s="3" t="s">
        <v>73</v>
      </c>
      <c r="AW281" s="2" t="s">
        <v>74</v>
      </c>
      <c r="AZ281" t="s">
        <v>953</v>
      </c>
      <c r="BB281" s="7" t="str">
        <f>HYPERLINK("https://v360.in/diamondview.aspx?cid=preet&amp;d=HN-128-42","https://v360.in/diamondview.aspx?cid=preet&amp;d=HN-128-42")</f>
        <v>https://v360.in/diamondview.aspx?cid=preet&amp;d=HN-128-42</v>
      </c>
    </row>
    <row r="282" ht="15.75" spans="1:54">
      <c r="A282" s="2" t="s">
        <v>954</v>
      </c>
      <c r="B282" s="3" t="s">
        <v>63</v>
      </c>
      <c r="C282" s="2" t="s">
        <v>862</v>
      </c>
      <c r="D282" s="2">
        <v>1</v>
      </c>
      <c r="E282" s="2" t="s">
        <v>63</v>
      </c>
      <c r="F282" s="2" t="s">
        <v>66</v>
      </c>
      <c r="G282" s="2" t="s">
        <v>67</v>
      </c>
      <c r="H282" s="2" t="s">
        <v>68</v>
      </c>
      <c r="I282" s="2" t="s">
        <v>68</v>
      </c>
      <c r="J282" s="2" t="s">
        <v>70</v>
      </c>
      <c r="L282" s="2" t="s">
        <v>955</v>
      </c>
      <c r="O282" t="s">
        <v>72</v>
      </c>
      <c r="P282" s="2">
        <v>570370832</v>
      </c>
      <c r="R282" s="2">
        <v>6600</v>
      </c>
      <c r="S282" s="4">
        <f t="shared" si="8"/>
        <v>6600</v>
      </c>
      <c r="T282" s="4">
        <v>-97</v>
      </c>
      <c r="U282" s="4">
        <f t="shared" si="9"/>
        <v>198</v>
      </c>
      <c r="V282" s="5">
        <v>0.599</v>
      </c>
      <c r="W282" s="5">
        <v>0.605</v>
      </c>
      <c r="AU282" s="3" t="s">
        <v>73</v>
      </c>
      <c r="AW282" s="2" t="s">
        <v>93</v>
      </c>
      <c r="AZ282" t="s">
        <v>956</v>
      </c>
      <c r="BB282" s="7" t="str">
        <f>HYPERLINK("https://v360.in/diamondview.aspx?cid=preet&amp;d=HN-147-4","https://v360.in/diamondview.aspx?cid=preet&amp;d=HN-147-4")</f>
        <v>https://v360.in/diamondview.aspx?cid=preet&amp;d=HN-147-4</v>
      </c>
    </row>
    <row r="283" ht="15.75" spans="1:54">
      <c r="A283" s="2" t="s">
        <v>957</v>
      </c>
      <c r="B283" s="3" t="s">
        <v>63</v>
      </c>
      <c r="C283" s="2" t="s">
        <v>862</v>
      </c>
      <c r="D283" s="2">
        <v>1</v>
      </c>
      <c r="E283" s="2" t="s">
        <v>63</v>
      </c>
      <c r="F283" s="2" t="s">
        <v>91</v>
      </c>
      <c r="G283" s="2" t="s">
        <v>67</v>
      </c>
      <c r="H283" s="2" t="s">
        <v>68</v>
      </c>
      <c r="I283" s="2" t="s">
        <v>68</v>
      </c>
      <c r="J283" s="2" t="s">
        <v>70</v>
      </c>
      <c r="L283" s="2" t="s">
        <v>958</v>
      </c>
      <c r="O283" t="s">
        <v>72</v>
      </c>
      <c r="P283" s="2">
        <v>567356384</v>
      </c>
      <c r="R283" s="2">
        <v>7000</v>
      </c>
      <c r="S283" s="4">
        <f t="shared" si="8"/>
        <v>7000</v>
      </c>
      <c r="T283" s="4">
        <v>-97</v>
      </c>
      <c r="U283" s="4">
        <f t="shared" si="9"/>
        <v>210</v>
      </c>
      <c r="V283" s="5">
        <v>0.587</v>
      </c>
      <c r="W283" s="6">
        <v>0.57</v>
      </c>
      <c r="AU283" s="3" t="s">
        <v>73</v>
      </c>
      <c r="AW283" s="2" t="s">
        <v>93</v>
      </c>
      <c r="AZ283" t="s">
        <v>959</v>
      </c>
      <c r="BB283" s="7" t="str">
        <f>HYPERLINK("https://v360.in/diamondview.aspx?cid=preet&amp;d=HN-136-22","https://v360.in/diamondview.aspx?cid=preet&amp;d=HN-136-22")</f>
        <v>https://v360.in/diamondview.aspx?cid=preet&amp;d=HN-136-22</v>
      </c>
    </row>
    <row r="284" ht="15.75" spans="1:54">
      <c r="A284" s="2" t="s">
        <v>960</v>
      </c>
      <c r="B284" s="3" t="s">
        <v>63</v>
      </c>
      <c r="C284" s="2" t="s">
        <v>862</v>
      </c>
      <c r="D284" s="2">
        <v>1</v>
      </c>
      <c r="E284" s="2" t="s">
        <v>81</v>
      </c>
      <c r="F284" s="2" t="s">
        <v>66</v>
      </c>
      <c r="G284" s="2" t="s">
        <v>67</v>
      </c>
      <c r="H284" s="2" t="s">
        <v>68</v>
      </c>
      <c r="I284" s="2" t="s">
        <v>68</v>
      </c>
      <c r="J284" s="2" t="s">
        <v>70</v>
      </c>
      <c r="L284" s="2" t="s">
        <v>961</v>
      </c>
      <c r="O284" t="s">
        <v>72</v>
      </c>
      <c r="P284" s="2">
        <v>528205271</v>
      </c>
      <c r="R284" s="2">
        <v>5700</v>
      </c>
      <c r="S284" s="4">
        <f t="shared" si="8"/>
        <v>5700</v>
      </c>
      <c r="T284" s="4">
        <v>-97</v>
      </c>
      <c r="U284" s="4">
        <f t="shared" si="9"/>
        <v>171</v>
      </c>
      <c r="V284" s="5">
        <v>0.619</v>
      </c>
      <c r="W284" s="5">
        <v>0.565</v>
      </c>
      <c r="AU284" s="3" t="s">
        <v>73</v>
      </c>
      <c r="AW284" s="2" t="s">
        <v>74</v>
      </c>
      <c r="AZ284" t="s">
        <v>962</v>
      </c>
      <c r="BB284" s="7" t="str">
        <f>HYPERLINK("https://view.gem360.in/gem360/2005221011-HN44-107/gem360-2005221011-HN44-107.html","https://view.gem360.in/gem360/2005221011-HN44-107/gem360-2005221011-HN44-107.html")</f>
        <v>https://view.gem360.in/gem360/2005221011-HN44-107/gem360-2005221011-HN44-107.html</v>
      </c>
    </row>
    <row r="285" ht="15.75" spans="1:54">
      <c r="A285" s="2" t="s">
        <v>963</v>
      </c>
      <c r="B285" s="3" t="s">
        <v>63</v>
      </c>
      <c r="C285" s="2" t="s">
        <v>862</v>
      </c>
      <c r="D285" s="2">
        <v>1</v>
      </c>
      <c r="E285" s="2" t="s">
        <v>81</v>
      </c>
      <c r="F285" s="2" t="s">
        <v>91</v>
      </c>
      <c r="G285" s="2" t="s">
        <v>67</v>
      </c>
      <c r="H285" s="2" t="s">
        <v>68</v>
      </c>
      <c r="I285" s="2" t="s">
        <v>68</v>
      </c>
      <c r="J285" s="2" t="s">
        <v>70</v>
      </c>
      <c r="L285" s="2" t="s">
        <v>964</v>
      </c>
      <c r="O285" t="s">
        <v>72</v>
      </c>
      <c r="P285" s="2">
        <v>567356383</v>
      </c>
      <c r="R285" s="2">
        <v>6000</v>
      </c>
      <c r="S285" s="4">
        <f t="shared" si="8"/>
        <v>6000</v>
      </c>
      <c r="T285" s="4">
        <v>-97</v>
      </c>
      <c r="U285" s="4">
        <f t="shared" si="9"/>
        <v>180</v>
      </c>
      <c r="V285" s="5">
        <v>0.628</v>
      </c>
      <c r="W285" s="5">
        <v>0.535</v>
      </c>
      <c r="AU285" s="3" t="s">
        <v>73</v>
      </c>
      <c r="AW285" s="2" t="s">
        <v>93</v>
      </c>
      <c r="AZ285" t="s">
        <v>965</v>
      </c>
      <c r="BB285" s="7" t="str">
        <f>HYPERLINK("https://v360.in/diamondview.aspx?cid=preet&amp;d=HN-136-21","https://v360.in/diamondview.aspx?cid=preet&amp;d=HN-136-21")</f>
        <v>https://v360.in/diamondview.aspx?cid=preet&amp;d=HN-136-21</v>
      </c>
    </row>
    <row r="286" ht="15.75" spans="1:54">
      <c r="A286" s="2" t="s">
        <v>966</v>
      </c>
      <c r="B286" s="3" t="s">
        <v>63</v>
      </c>
      <c r="C286" s="2" t="s">
        <v>862</v>
      </c>
      <c r="D286" s="2">
        <v>0.97</v>
      </c>
      <c r="E286" s="2" t="s">
        <v>65</v>
      </c>
      <c r="F286" s="2" t="s">
        <v>91</v>
      </c>
      <c r="G286" s="2" t="s">
        <v>67</v>
      </c>
      <c r="H286" s="2" t="s">
        <v>68</v>
      </c>
      <c r="I286" s="2" t="s">
        <v>68</v>
      </c>
      <c r="J286" s="2" t="s">
        <v>70</v>
      </c>
      <c r="L286" s="2" t="s">
        <v>967</v>
      </c>
      <c r="O286" t="s">
        <v>72</v>
      </c>
      <c r="P286" s="2">
        <v>566310800</v>
      </c>
      <c r="R286" s="2">
        <v>5700</v>
      </c>
      <c r="S286" s="4">
        <f t="shared" si="8"/>
        <v>5529</v>
      </c>
      <c r="T286" s="4">
        <v>-97</v>
      </c>
      <c r="U286" s="4">
        <f t="shared" si="9"/>
        <v>165.87</v>
      </c>
      <c r="V286" s="5">
        <v>0.591</v>
      </c>
      <c r="W286" s="6">
        <v>0.57</v>
      </c>
      <c r="AU286" s="3" t="s">
        <v>73</v>
      </c>
      <c r="AW286" s="2" t="s">
        <v>93</v>
      </c>
      <c r="AZ286" t="s">
        <v>968</v>
      </c>
      <c r="BB286" s="7" t="str">
        <f>HYPERLINK("https://v360.in/diamondview.aspx?cid=preet&amp;d=HN-135-36","https://v360.in/diamondview.aspx?cid=preet&amp;d=HN-135-36")</f>
        <v>https://v360.in/diamondview.aspx?cid=preet&amp;d=HN-135-36</v>
      </c>
    </row>
    <row r="287" ht="15.75" spans="1:54">
      <c r="A287" s="2" t="s">
        <v>969</v>
      </c>
      <c r="B287" s="3" t="s">
        <v>63</v>
      </c>
      <c r="C287" s="2" t="s">
        <v>862</v>
      </c>
      <c r="D287" s="2">
        <v>0.95</v>
      </c>
      <c r="E287" s="2" t="s">
        <v>119</v>
      </c>
      <c r="F287" s="2" t="s">
        <v>66</v>
      </c>
      <c r="G287" s="2" t="s">
        <v>67</v>
      </c>
      <c r="H287" s="2" t="s">
        <v>68</v>
      </c>
      <c r="I287" s="2" t="s">
        <v>68</v>
      </c>
      <c r="J287" s="2" t="s">
        <v>70</v>
      </c>
      <c r="L287" s="2" t="s">
        <v>970</v>
      </c>
      <c r="O287" t="s">
        <v>72</v>
      </c>
      <c r="P287" s="2">
        <v>528205259</v>
      </c>
      <c r="R287" s="2">
        <v>5600</v>
      </c>
      <c r="S287" s="4">
        <f t="shared" si="8"/>
        <v>5320</v>
      </c>
      <c r="T287" s="4">
        <v>-97</v>
      </c>
      <c r="U287" s="4">
        <f t="shared" si="9"/>
        <v>159.6</v>
      </c>
      <c r="V287" s="2">
        <v>63.4</v>
      </c>
      <c r="W287" s="2">
        <v>58</v>
      </c>
      <c r="AU287" s="3" t="s">
        <v>73</v>
      </c>
      <c r="AW287" s="2" t="s">
        <v>74</v>
      </c>
      <c r="AZ287" t="s">
        <v>971</v>
      </c>
      <c r="BB287" s="7" t="str">
        <f>HYPERLINK("https://view.gem360.in/gem360/2105220606-HN40-120/gem360-2105220606-HN40-120.html","https://view.gem360.in/gem360/2105220606-HN40-120/gem360-2105220606-HN40-120.html")</f>
        <v>https://view.gem360.in/gem360/2105220606-HN40-120/gem360-2105220606-HN40-120.html</v>
      </c>
    </row>
    <row r="288" ht="15.75" spans="1:54">
      <c r="A288" s="2" t="s">
        <v>972</v>
      </c>
      <c r="B288" s="3" t="s">
        <v>63</v>
      </c>
      <c r="C288" s="2" t="s">
        <v>862</v>
      </c>
      <c r="D288" s="2">
        <v>0.95</v>
      </c>
      <c r="E288" s="2" t="s">
        <v>81</v>
      </c>
      <c r="F288" s="2" t="s">
        <v>91</v>
      </c>
      <c r="G288" s="2" t="s">
        <v>67</v>
      </c>
      <c r="H288" s="2" t="s">
        <v>68</v>
      </c>
      <c r="I288" s="2" t="s">
        <v>68</v>
      </c>
      <c r="J288" s="2" t="s">
        <v>70</v>
      </c>
      <c r="L288" s="2" t="s">
        <v>973</v>
      </c>
      <c r="O288" t="s">
        <v>72</v>
      </c>
      <c r="P288" s="2">
        <v>524248597</v>
      </c>
      <c r="R288" s="2">
        <v>4900</v>
      </c>
      <c r="S288" s="4">
        <f t="shared" si="8"/>
        <v>4655</v>
      </c>
      <c r="T288" s="4">
        <v>-97</v>
      </c>
      <c r="U288" s="4">
        <f t="shared" si="9"/>
        <v>139.65</v>
      </c>
      <c r="V288" s="5">
        <v>0.593</v>
      </c>
      <c r="W288" s="5">
        <v>0.615</v>
      </c>
      <c r="AU288" s="3" t="s">
        <v>73</v>
      </c>
      <c r="AW288" s="2" t="s">
        <v>74</v>
      </c>
      <c r="AZ288" t="s">
        <v>974</v>
      </c>
      <c r="BB288" s="7" t="str">
        <f>HYPERLINK("https://view.gem360.in/gem360/1105220638-HN43-155/gem360-1105220638-HN43-155.html","https://view.gem360.in/gem360/1105220638-HN43-155/gem360-1105220638-HN43-155.html")</f>
        <v>https://view.gem360.in/gem360/1105220638-HN43-155/gem360-1105220638-HN43-155.html</v>
      </c>
    </row>
    <row r="289" ht="15.75" spans="1:54">
      <c r="A289" s="2" t="s">
        <v>975</v>
      </c>
      <c r="B289" s="3" t="s">
        <v>63</v>
      </c>
      <c r="C289" s="2" t="s">
        <v>862</v>
      </c>
      <c r="D289" s="2">
        <v>0.93</v>
      </c>
      <c r="E289" s="2" t="s">
        <v>63</v>
      </c>
      <c r="F289" s="2" t="s">
        <v>66</v>
      </c>
      <c r="G289" s="2" t="s">
        <v>67</v>
      </c>
      <c r="H289" s="2" t="s">
        <v>68</v>
      </c>
      <c r="I289" s="2" t="s">
        <v>68</v>
      </c>
      <c r="J289" s="2" t="s">
        <v>70</v>
      </c>
      <c r="L289" s="2" t="s">
        <v>976</v>
      </c>
      <c r="O289" t="s">
        <v>72</v>
      </c>
      <c r="P289" s="2">
        <v>522235991</v>
      </c>
      <c r="R289" s="2">
        <v>5100</v>
      </c>
      <c r="S289" s="4">
        <f t="shared" si="8"/>
        <v>4743</v>
      </c>
      <c r="T289" s="4">
        <v>-97</v>
      </c>
      <c r="U289" s="4">
        <f t="shared" si="9"/>
        <v>142.29</v>
      </c>
      <c r="V289" s="5">
        <v>0.632</v>
      </c>
      <c r="W289" s="5">
        <v>0.555</v>
      </c>
      <c r="AU289" s="3" t="s">
        <v>73</v>
      </c>
      <c r="AW289" s="2" t="s">
        <v>74</v>
      </c>
      <c r="AZ289" t="s">
        <v>977</v>
      </c>
      <c r="BB289" s="7" t="str">
        <f>HYPERLINK("https://view.gem360.in/gem360/0904220957-HN40-164/gem360-0904220957-HN40-164.html","https://view.gem360.in/gem360/0904220957-HN40-164/gem360-0904220957-HN40-164.html")</f>
        <v>https://view.gem360.in/gem360/0904220957-HN40-164/gem360-0904220957-HN40-164.html</v>
      </c>
    </row>
    <row r="290" ht="15.75" spans="1:54">
      <c r="A290" s="2" t="s">
        <v>978</v>
      </c>
      <c r="B290" s="3" t="s">
        <v>63</v>
      </c>
      <c r="C290" s="2" t="s">
        <v>862</v>
      </c>
      <c r="D290" s="2">
        <v>0.91</v>
      </c>
      <c r="E290" s="2" t="s">
        <v>63</v>
      </c>
      <c r="F290" s="2" t="s">
        <v>66</v>
      </c>
      <c r="G290" s="2" t="s">
        <v>67</v>
      </c>
      <c r="H290" s="2" t="s">
        <v>68</v>
      </c>
      <c r="I290" s="2" t="s">
        <v>69</v>
      </c>
      <c r="J290" s="2" t="s">
        <v>70</v>
      </c>
      <c r="L290" s="2" t="s">
        <v>979</v>
      </c>
      <c r="O290" t="s">
        <v>72</v>
      </c>
      <c r="P290" s="2">
        <v>526286718</v>
      </c>
      <c r="R290" s="2">
        <v>5100</v>
      </c>
      <c r="S290" s="4">
        <f t="shared" si="8"/>
        <v>4641</v>
      </c>
      <c r="T290" s="4">
        <v>-97</v>
      </c>
      <c r="U290" s="4">
        <f t="shared" si="9"/>
        <v>139.23</v>
      </c>
      <c r="V290" s="5">
        <v>0.592</v>
      </c>
      <c r="W290" s="6">
        <v>0.64</v>
      </c>
      <c r="AU290" s="3" t="s">
        <v>73</v>
      </c>
      <c r="AW290" s="2" t="s">
        <v>74</v>
      </c>
      <c r="AZ290" t="s">
        <v>980</v>
      </c>
      <c r="BB290" s="7" t="str">
        <f>HYPERLINK("https://view.gem360.in/gem360/2005221015-HN43-141/gem360-2005221015-HN43-141.html","https://view.gem360.in/gem360/2005221015-HN43-141/gem360-2005221015-HN43-141.html")</f>
        <v>https://view.gem360.in/gem360/2005221015-HN43-141/gem360-2005221015-HN43-141.html</v>
      </c>
    </row>
    <row r="291" ht="15.75" spans="1:54">
      <c r="A291" s="2" t="s">
        <v>981</v>
      </c>
      <c r="B291" s="3" t="s">
        <v>63</v>
      </c>
      <c r="C291" s="2" t="s">
        <v>862</v>
      </c>
      <c r="D291" s="2">
        <v>0.9</v>
      </c>
      <c r="E291" s="2" t="s">
        <v>65</v>
      </c>
      <c r="F291" s="2" t="s">
        <v>66</v>
      </c>
      <c r="G291" s="2" t="s">
        <v>67</v>
      </c>
      <c r="H291" s="2" t="s">
        <v>68</v>
      </c>
      <c r="I291" s="2" t="s">
        <v>68</v>
      </c>
      <c r="J291" s="2" t="s">
        <v>70</v>
      </c>
      <c r="L291" s="2" t="s">
        <v>982</v>
      </c>
      <c r="O291" t="s">
        <v>72</v>
      </c>
      <c r="P291" s="2">
        <v>528205252</v>
      </c>
      <c r="R291" s="2">
        <v>5400</v>
      </c>
      <c r="S291" s="4">
        <f t="shared" si="8"/>
        <v>4860</v>
      </c>
      <c r="T291" s="4">
        <v>-97</v>
      </c>
      <c r="U291" s="4">
        <f t="shared" si="9"/>
        <v>145.8</v>
      </c>
      <c r="V291" s="5">
        <v>0.613</v>
      </c>
      <c r="W291" s="5">
        <v>0.595</v>
      </c>
      <c r="AU291" s="3" t="s">
        <v>73</v>
      </c>
      <c r="AW291" s="2" t="s">
        <v>74</v>
      </c>
      <c r="AZ291" t="s">
        <v>983</v>
      </c>
      <c r="BB291" s="7" t="str">
        <f>HYPERLINK("https://view.gem360.in/gem360/2105220609-HN44-198/gem360-2105220609-HN44-198.html","https://view.gem360.in/gem360/2105220609-HN44-198/gem360-2105220609-HN44-198.html")</f>
        <v>https://view.gem360.in/gem360/2105220609-HN44-198/gem360-2105220609-HN44-198.html</v>
      </c>
    </row>
    <row r="292" ht="15.75" spans="1:54">
      <c r="A292" s="2" t="s">
        <v>984</v>
      </c>
      <c r="B292" s="3" t="s">
        <v>63</v>
      </c>
      <c r="C292" s="2" t="s">
        <v>862</v>
      </c>
      <c r="D292" s="2">
        <v>0.9</v>
      </c>
      <c r="E292" s="2" t="s">
        <v>63</v>
      </c>
      <c r="F292" s="2" t="s">
        <v>91</v>
      </c>
      <c r="G292" s="2" t="s">
        <v>67</v>
      </c>
      <c r="H292" s="2" t="s">
        <v>68</v>
      </c>
      <c r="I292" s="2" t="s">
        <v>69</v>
      </c>
      <c r="J292" s="2" t="s">
        <v>70</v>
      </c>
      <c r="L292" s="2" t="s">
        <v>985</v>
      </c>
      <c r="O292" t="s">
        <v>72</v>
      </c>
      <c r="P292" s="2">
        <v>526286719</v>
      </c>
      <c r="R292" s="2">
        <v>5400</v>
      </c>
      <c r="S292" s="4">
        <f t="shared" si="8"/>
        <v>4860</v>
      </c>
      <c r="T292" s="4">
        <v>-97</v>
      </c>
      <c r="U292" s="4">
        <f t="shared" si="9"/>
        <v>145.8</v>
      </c>
      <c r="V292" s="5">
        <v>0.585</v>
      </c>
      <c r="W292" s="2">
        <v>59</v>
      </c>
      <c r="AU292" s="3" t="s">
        <v>73</v>
      </c>
      <c r="AW292" s="2" t="s">
        <v>74</v>
      </c>
      <c r="AZ292" t="s">
        <v>986</v>
      </c>
      <c r="BB292" s="7" t="str">
        <f>HYPERLINK("","")</f>
        <v/>
      </c>
    </row>
    <row r="293" ht="15.75" spans="1:54">
      <c r="A293" s="2" t="s">
        <v>987</v>
      </c>
      <c r="B293" s="3" t="s">
        <v>63</v>
      </c>
      <c r="C293" s="2" t="s">
        <v>862</v>
      </c>
      <c r="D293" s="2">
        <v>0.9</v>
      </c>
      <c r="E293" s="2" t="s">
        <v>81</v>
      </c>
      <c r="F293" s="2" t="s">
        <v>155</v>
      </c>
      <c r="G293" s="2" t="s">
        <v>67</v>
      </c>
      <c r="H293" s="2" t="s">
        <v>68</v>
      </c>
      <c r="I293" s="2" t="s">
        <v>68</v>
      </c>
      <c r="J293" s="2" t="s">
        <v>70</v>
      </c>
      <c r="L293" s="2" t="s">
        <v>988</v>
      </c>
      <c r="O293" t="s">
        <v>72</v>
      </c>
      <c r="P293" s="2">
        <v>526286717</v>
      </c>
      <c r="R293" s="2">
        <v>4000</v>
      </c>
      <c r="S293" s="4">
        <f t="shared" si="8"/>
        <v>3600</v>
      </c>
      <c r="T293" s="4">
        <v>-97</v>
      </c>
      <c r="U293" s="4">
        <f t="shared" si="9"/>
        <v>108</v>
      </c>
      <c r="V293" s="5">
        <v>0.587</v>
      </c>
      <c r="W293" s="5">
        <v>0.615</v>
      </c>
      <c r="AU293" s="3" t="s">
        <v>73</v>
      </c>
      <c r="AW293" s="2" t="s">
        <v>74</v>
      </c>
      <c r="AZ293" t="s">
        <v>989</v>
      </c>
      <c r="BB293" s="7" t="str">
        <f>HYPERLINK("https://view.gem360.in/gem360/2005221017-HN43-146/gem360-2005221017-HN43-146.html","https://view.gem360.in/gem360/2005221017-HN43-146/gem360-2005221017-HN43-146.html")</f>
        <v>https://view.gem360.in/gem360/2005221017-HN43-146/gem360-2005221017-HN43-146.html</v>
      </c>
    </row>
    <row r="294" ht="15.75" spans="1:54">
      <c r="A294" s="2" t="s">
        <v>990</v>
      </c>
      <c r="B294" s="3" t="s">
        <v>63</v>
      </c>
      <c r="C294" s="2" t="s">
        <v>862</v>
      </c>
      <c r="D294" s="2">
        <v>0.85</v>
      </c>
      <c r="E294" s="2" t="s">
        <v>119</v>
      </c>
      <c r="F294" s="2" t="s">
        <v>66</v>
      </c>
      <c r="G294" s="2" t="s">
        <v>67</v>
      </c>
      <c r="H294" s="2" t="s">
        <v>68</v>
      </c>
      <c r="I294" s="2" t="s">
        <v>69</v>
      </c>
      <c r="J294" s="2" t="s">
        <v>70</v>
      </c>
      <c r="L294" s="2" t="s">
        <v>991</v>
      </c>
      <c r="O294" t="s">
        <v>72</v>
      </c>
      <c r="P294" s="2">
        <v>547233180</v>
      </c>
      <c r="R294" s="2">
        <v>4400</v>
      </c>
      <c r="S294" s="4">
        <f t="shared" si="8"/>
        <v>3740</v>
      </c>
      <c r="T294" s="4">
        <v>-97</v>
      </c>
      <c r="U294" s="4">
        <f t="shared" si="9"/>
        <v>112.2</v>
      </c>
      <c r="V294" s="5">
        <v>0.636</v>
      </c>
      <c r="W294" s="5">
        <v>0.585</v>
      </c>
      <c r="AU294" s="3" t="s">
        <v>73</v>
      </c>
      <c r="AW294" s="2" t="s">
        <v>74</v>
      </c>
      <c r="AZ294" t="s">
        <v>992</v>
      </c>
      <c r="BB294" s="7" t="str">
        <f>HYPERLINK("https://v360.in/diamondview.aspx?cid=meet&amp;d=HN-81-62","https://v360.in/diamondview.aspx?cid=meet&amp;d=HN-81-62")</f>
        <v>https://v360.in/diamondview.aspx?cid=meet&amp;d=HN-81-62</v>
      </c>
    </row>
    <row r="295" ht="15.75" spans="1:54">
      <c r="A295" s="2" t="s">
        <v>993</v>
      </c>
      <c r="B295" s="3" t="s">
        <v>63</v>
      </c>
      <c r="C295" s="2" t="s">
        <v>862</v>
      </c>
      <c r="D295" s="2">
        <v>0.85</v>
      </c>
      <c r="E295" s="2" t="s">
        <v>65</v>
      </c>
      <c r="F295" s="2" t="s">
        <v>91</v>
      </c>
      <c r="G295" s="2" t="s">
        <v>67</v>
      </c>
      <c r="H295" s="2" t="s">
        <v>68</v>
      </c>
      <c r="I295" s="2" t="s">
        <v>68</v>
      </c>
      <c r="J295" s="2" t="s">
        <v>70</v>
      </c>
      <c r="L295" s="2" t="s">
        <v>994</v>
      </c>
      <c r="O295" t="s">
        <v>72</v>
      </c>
      <c r="P295" s="2">
        <v>524248596</v>
      </c>
      <c r="R295" s="2">
        <v>4600</v>
      </c>
      <c r="S295" s="4">
        <f t="shared" si="8"/>
        <v>3910</v>
      </c>
      <c r="T295" s="4">
        <v>-97</v>
      </c>
      <c r="U295" s="4">
        <f t="shared" si="9"/>
        <v>117.3</v>
      </c>
      <c r="V295" s="5">
        <v>0.646</v>
      </c>
      <c r="W295" s="6">
        <v>0.51</v>
      </c>
      <c r="AU295" s="3" t="s">
        <v>73</v>
      </c>
      <c r="AW295" s="2" t="s">
        <v>74</v>
      </c>
      <c r="AZ295" t="s">
        <v>995</v>
      </c>
      <c r="BB295" s="7" t="str">
        <f>HYPERLINK("https://view.gem360.in/gem360/1105220642-HN43-144/gem360-1105220642-HN43-144.html","https://view.gem360.in/gem360/1105220642-HN43-144/gem360-1105220642-HN43-144.html")</f>
        <v>https://view.gem360.in/gem360/1105220642-HN43-144/gem360-1105220642-HN43-144.html</v>
      </c>
    </row>
    <row r="296" ht="15.75" spans="1:54">
      <c r="A296" s="2" t="s">
        <v>996</v>
      </c>
      <c r="B296" s="3" t="s">
        <v>63</v>
      </c>
      <c r="C296" s="2" t="s">
        <v>862</v>
      </c>
      <c r="D296" s="2">
        <v>0.84</v>
      </c>
      <c r="E296" s="2" t="s">
        <v>65</v>
      </c>
      <c r="F296" s="2" t="s">
        <v>91</v>
      </c>
      <c r="G296" s="2" t="s">
        <v>67</v>
      </c>
      <c r="H296" s="2" t="s">
        <v>68</v>
      </c>
      <c r="I296" s="2" t="s">
        <v>69</v>
      </c>
      <c r="J296" s="2" t="s">
        <v>70</v>
      </c>
      <c r="L296" s="2" t="s">
        <v>997</v>
      </c>
      <c r="O296" t="s">
        <v>72</v>
      </c>
      <c r="P296" s="2">
        <v>528205250</v>
      </c>
      <c r="R296" s="2">
        <v>4600</v>
      </c>
      <c r="S296" s="4">
        <f t="shared" si="8"/>
        <v>3864</v>
      </c>
      <c r="T296" s="4">
        <v>-97</v>
      </c>
      <c r="U296" s="4">
        <f t="shared" si="9"/>
        <v>115.92</v>
      </c>
      <c r="V296" s="5">
        <v>0.634</v>
      </c>
      <c r="W296" s="5">
        <v>0.605</v>
      </c>
      <c r="AU296" s="3" t="s">
        <v>73</v>
      </c>
      <c r="AW296" s="2" t="s">
        <v>74</v>
      </c>
      <c r="AZ296" t="s">
        <v>998</v>
      </c>
      <c r="BB296" s="7" t="str">
        <f>HYPERLINK("https://view.gem360.in/gem360/2105220630-HN44-92/gem360-2105220630-HN44-92.html","https://view.gem360.in/gem360/2105220630-HN44-92/gem360-2105220630-HN44-92.html")</f>
        <v>https://view.gem360.in/gem360/2105220630-HN44-92/gem360-2105220630-HN44-92.html</v>
      </c>
    </row>
    <row r="297" ht="15.75" spans="1:54">
      <c r="A297" s="2" t="s">
        <v>999</v>
      </c>
      <c r="B297" s="3" t="s">
        <v>63</v>
      </c>
      <c r="C297" s="2" t="s">
        <v>862</v>
      </c>
      <c r="D297" s="2">
        <v>0.84</v>
      </c>
      <c r="E297" s="2" t="s">
        <v>63</v>
      </c>
      <c r="F297" s="2" t="s">
        <v>66</v>
      </c>
      <c r="G297" s="2" t="s">
        <v>67</v>
      </c>
      <c r="H297" s="2" t="s">
        <v>68</v>
      </c>
      <c r="I297" s="2" t="s">
        <v>68</v>
      </c>
      <c r="J297" s="2" t="s">
        <v>70</v>
      </c>
      <c r="L297" s="2" t="s">
        <v>1000</v>
      </c>
      <c r="O297" t="s">
        <v>72</v>
      </c>
      <c r="P297" s="2">
        <v>526286723</v>
      </c>
      <c r="R297" s="2">
        <v>3900</v>
      </c>
      <c r="S297" s="4">
        <f t="shared" si="8"/>
        <v>3276</v>
      </c>
      <c r="T297" s="4">
        <v>-97</v>
      </c>
      <c r="U297" s="4">
        <f t="shared" si="9"/>
        <v>98.28</v>
      </c>
      <c r="V297" s="5">
        <v>0.605</v>
      </c>
      <c r="W297" s="6">
        <v>0.58</v>
      </c>
      <c r="AU297" s="3" t="s">
        <v>73</v>
      </c>
      <c r="AW297" s="2" t="s">
        <v>74</v>
      </c>
      <c r="AZ297" t="s">
        <v>1001</v>
      </c>
      <c r="BB297" s="7" t="str">
        <f>HYPERLINK("","")</f>
        <v/>
      </c>
    </row>
    <row r="298" ht="15.75" spans="1:54">
      <c r="A298" s="2" t="s">
        <v>1002</v>
      </c>
      <c r="B298" s="3" t="s">
        <v>63</v>
      </c>
      <c r="C298" s="2" t="s">
        <v>862</v>
      </c>
      <c r="D298" s="2">
        <v>0.82</v>
      </c>
      <c r="E298" s="2" t="s">
        <v>65</v>
      </c>
      <c r="F298" s="2" t="s">
        <v>91</v>
      </c>
      <c r="G298" s="2" t="s">
        <v>67</v>
      </c>
      <c r="H298" s="2" t="s">
        <v>68</v>
      </c>
      <c r="I298" s="2" t="s">
        <v>68</v>
      </c>
      <c r="J298" s="2" t="s">
        <v>70</v>
      </c>
      <c r="L298" s="2" t="s">
        <v>1003</v>
      </c>
      <c r="O298" t="s">
        <v>72</v>
      </c>
      <c r="P298" s="2">
        <v>528205258</v>
      </c>
      <c r="R298" s="2">
        <v>4600</v>
      </c>
      <c r="S298" s="4">
        <f t="shared" si="8"/>
        <v>3772</v>
      </c>
      <c r="T298" s="4">
        <v>-97</v>
      </c>
      <c r="U298" s="4">
        <f t="shared" si="9"/>
        <v>113.16</v>
      </c>
      <c r="V298" s="5">
        <v>0.626</v>
      </c>
      <c r="W298" s="5">
        <v>0.595</v>
      </c>
      <c r="AU298" s="3" t="s">
        <v>73</v>
      </c>
      <c r="AW298" s="2" t="s">
        <v>74</v>
      </c>
      <c r="AZ298" t="s">
        <v>1004</v>
      </c>
      <c r="BB298" s="7" t="str">
        <f>HYPERLINK("https://view.gem360.in/gem360/2105220633-HN43-139/gem360-2105220633-HN43-139.html","https://view.gem360.in/gem360/2105220633-HN43-139/gem360-2105220633-HN43-139.html")</f>
        <v>https://view.gem360.in/gem360/2105220633-HN43-139/gem360-2105220633-HN43-139.html</v>
      </c>
    </row>
    <row r="299" ht="15.75" spans="1:54">
      <c r="A299" s="2" t="s">
        <v>1005</v>
      </c>
      <c r="B299" s="3" t="s">
        <v>63</v>
      </c>
      <c r="C299" s="2" t="s">
        <v>862</v>
      </c>
      <c r="D299" s="2">
        <v>0.81</v>
      </c>
      <c r="E299" s="2" t="s">
        <v>65</v>
      </c>
      <c r="F299" s="2" t="s">
        <v>66</v>
      </c>
      <c r="G299" s="2" t="s">
        <v>67</v>
      </c>
      <c r="H299" s="2" t="s">
        <v>68</v>
      </c>
      <c r="I299" s="2" t="s">
        <v>68</v>
      </c>
      <c r="J299" s="2" t="s">
        <v>70</v>
      </c>
      <c r="L299" s="2" t="s">
        <v>1006</v>
      </c>
      <c r="O299" t="s">
        <v>72</v>
      </c>
      <c r="P299" s="2">
        <v>526286724</v>
      </c>
      <c r="R299" s="2">
        <v>4200</v>
      </c>
      <c r="S299" s="4">
        <f t="shared" si="8"/>
        <v>3402</v>
      </c>
      <c r="T299" s="4">
        <v>-97</v>
      </c>
      <c r="U299" s="4">
        <f t="shared" si="9"/>
        <v>102.06</v>
      </c>
      <c r="V299" s="5">
        <v>0.642</v>
      </c>
      <c r="W299" s="5">
        <v>0.605</v>
      </c>
      <c r="AU299" s="3" t="s">
        <v>73</v>
      </c>
      <c r="AW299" s="2" t="s">
        <v>74</v>
      </c>
      <c r="AZ299" t="s">
        <v>1007</v>
      </c>
      <c r="BB299" s="7" t="str">
        <f>HYPERLINK("","")</f>
        <v/>
      </c>
    </row>
    <row r="300" ht="15.75" spans="1:54">
      <c r="A300" s="2" t="s">
        <v>1008</v>
      </c>
      <c r="B300" s="3" t="s">
        <v>63</v>
      </c>
      <c r="C300" s="2" t="s">
        <v>862</v>
      </c>
      <c r="D300" s="2">
        <v>0.8</v>
      </c>
      <c r="E300" s="2" t="s">
        <v>65</v>
      </c>
      <c r="F300" s="2" t="s">
        <v>66</v>
      </c>
      <c r="G300" s="2" t="s">
        <v>67</v>
      </c>
      <c r="H300" s="2" t="s">
        <v>68</v>
      </c>
      <c r="I300" s="2" t="s">
        <v>68</v>
      </c>
      <c r="J300" s="2" t="s">
        <v>70</v>
      </c>
      <c r="L300" s="2" t="s">
        <v>1009</v>
      </c>
      <c r="O300" t="s">
        <v>72</v>
      </c>
      <c r="P300" s="2">
        <v>528205251</v>
      </c>
      <c r="R300" s="2">
        <v>4200</v>
      </c>
      <c r="S300" s="4">
        <f t="shared" si="8"/>
        <v>3360</v>
      </c>
      <c r="T300" s="4">
        <v>-97</v>
      </c>
      <c r="U300" s="4">
        <f t="shared" si="9"/>
        <v>100.8</v>
      </c>
      <c r="V300" s="6">
        <v>0.63</v>
      </c>
      <c r="W300" s="6">
        <v>0.52</v>
      </c>
      <c r="AU300" s="3" t="s">
        <v>73</v>
      </c>
      <c r="AW300" s="2" t="s">
        <v>74</v>
      </c>
      <c r="AZ300" t="s">
        <v>1010</v>
      </c>
      <c r="BB300" s="7" t="str">
        <f>HYPERLINK("https://view.gem360.in/gem360/2105220638-HN44-86/gem360-2105220638-HN44-86.html","https://view.gem360.in/gem360/2105220638-HN44-86/gem360-2105220638-HN44-86.html")</f>
        <v>https://view.gem360.in/gem360/2105220638-HN44-86/gem360-2105220638-HN44-86.html</v>
      </c>
    </row>
    <row r="301" ht="15.75" spans="1:54">
      <c r="A301" s="2" t="s">
        <v>1011</v>
      </c>
      <c r="B301" s="3" t="s">
        <v>63</v>
      </c>
      <c r="C301" s="2" t="s">
        <v>1012</v>
      </c>
      <c r="D301" s="2">
        <v>2.4</v>
      </c>
      <c r="E301" s="2" t="s">
        <v>63</v>
      </c>
      <c r="F301" s="2" t="s">
        <v>91</v>
      </c>
      <c r="G301" s="2" t="s">
        <v>67</v>
      </c>
      <c r="H301" s="2" t="s">
        <v>68</v>
      </c>
      <c r="I301" s="2" t="s">
        <v>68</v>
      </c>
      <c r="J301" s="2" t="s">
        <v>70</v>
      </c>
      <c r="L301" s="2" t="s">
        <v>1013</v>
      </c>
      <c r="O301" t="s">
        <v>72</v>
      </c>
      <c r="P301" s="2">
        <v>520291588</v>
      </c>
      <c r="R301" s="2">
        <v>15500</v>
      </c>
      <c r="S301" s="4">
        <f t="shared" si="8"/>
        <v>37200</v>
      </c>
      <c r="T301" s="4">
        <v>-97</v>
      </c>
      <c r="U301" s="4">
        <f t="shared" si="9"/>
        <v>1116</v>
      </c>
      <c r="V301" s="6">
        <v>0.61</v>
      </c>
      <c r="W301" s="5">
        <v>0.595</v>
      </c>
      <c r="AU301" s="3" t="s">
        <v>73</v>
      </c>
      <c r="AW301" s="2" t="s">
        <v>74</v>
      </c>
      <c r="AZ301" t="s">
        <v>1014</v>
      </c>
      <c r="BB301" s="7" t="str">
        <f>HYPERLINK("HTTPS://V360.IN/DIAMONDVIEW.ASPX?CID=MEET&amp;D=HN-52-33","HTTPS://V360.IN/DIAMONDVIEW.ASPX?CID=MEET&amp;D=HN-52-33")</f>
        <v>HTTPS://V360.IN/DIAMONDVIEW.ASPX?CID=MEET&amp;D=HN-52-33</v>
      </c>
    </row>
    <row r="302" ht="15.75" spans="1:54">
      <c r="A302" s="2" t="s">
        <v>1015</v>
      </c>
      <c r="B302" s="3" t="s">
        <v>63</v>
      </c>
      <c r="C302" s="2" t="s">
        <v>1012</v>
      </c>
      <c r="D302" s="2">
        <v>2.27</v>
      </c>
      <c r="E302" s="2" t="s">
        <v>63</v>
      </c>
      <c r="F302" s="2" t="s">
        <v>143</v>
      </c>
      <c r="G302" s="2" t="s">
        <v>67</v>
      </c>
      <c r="H302" s="2" t="s">
        <v>68</v>
      </c>
      <c r="I302" s="2" t="s">
        <v>68</v>
      </c>
      <c r="J302" s="2" t="s">
        <v>70</v>
      </c>
      <c r="L302" s="2" t="s">
        <v>1016</v>
      </c>
      <c r="O302" t="s">
        <v>72</v>
      </c>
      <c r="P302" s="2">
        <v>522235992</v>
      </c>
      <c r="R302" s="2">
        <v>16500</v>
      </c>
      <c r="S302" s="4">
        <f t="shared" si="8"/>
        <v>37455</v>
      </c>
      <c r="T302" s="4">
        <v>-97</v>
      </c>
      <c r="U302" s="4">
        <f t="shared" si="9"/>
        <v>1123.65</v>
      </c>
      <c r="V302" s="5">
        <v>0.613</v>
      </c>
      <c r="W302" s="6">
        <v>0.59</v>
      </c>
      <c r="AU302" s="3" t="s">
        <v>73</v>
      </c>
      <c r="AW302" s="2" t="s">
        <v>74</v>
      </c>
      <c r="AZ302" t="s">
        <v>1017</v>
      </c>
      <c r="BB302" s="7" t="str">
        <f>HYPERLINK("https://view.gem360.in/gem360/0804220957-HN52-36/gem360-0804220957-HN52-36.html","https://view.gem360.in/gem360/0804220957-HN52-36/gem360-0804220957-HN52-36.html")</f>
        <v>https://view.gem360.in/gem360/0804220957-HN52-36/gem360-0804220957-HN52-36.html</v>
      </c>
    </row>
    <row r="303" ht="15.75" spans="1:54">
      <c r="A303" s="2" t="s">
        <v>1018</v>
      </c>
      <c r="B303" s="3" t="s">
        <v>63</v>
      </c>
      <c r="C303" s="2" t="s">
        <v>1012</v>
      </c>
      <c r="D303" s="2">
        <v>2.23</v>
      </c>
      <c r="E303" s="2" t="s">
        <v>81</v>
      </c>
      <c r="F303" s="2" t="s">
        <v>91</v>
      </c>
      <c r="G303" s="2" t="s">
        <v>67</v>
      </c>
      <c r="H303" s="2" t="s">
        <v>68</v>
      </c>
      <c r="I303" s="2" t="s">
        <v>68</v>
      </c>
      <c r="J303" s="2" t="s">
        <v>70</v>
      </c>
      <c r="L303" s="2" t="s">
        <v>1019</v>
      </c>
      <c r="O303" t="s">
        <v>72</v>
      </c>
      <c r="P303" s="2">
        <v>523271699</v>
      </c>
      <c r="R303" s="2">
        <v>13000</v>
      </c>
      <c r="S303" s="4">
        <f t="shared" si="8"/>
        <v>28990</v>
      </c>
      <c r="T303" s="4">
        <v>-97</v>
      </c>
      <c r="U303" s="4">
        <f t="shared" si="9"/>
        <v>869.7</v>
      </c>
      <c r="V303" s="5">
        <v>0.623</v>
      </c>
      <c r="W303" s="6">
        <v>0.59</v>
      </c>
      <c r="AU303" s="3" t="s">
        <v>73</v>
      </c>
      <c r="AW303" s="2" t="s">
        <v>74</v>
      </c>
      <c r="AZ303" t="s">
        <v>1020</v>
      </c>
      <c r="BB303" s="7" t="str">
        <f>HYPERLINK("https://view.gem360.in/gem360/0804220957-HN52-36/gem360-0804220957-HN52-16.html","https://view.gem360.in/gem360/0804220957-HN52-36/gem360-0804220957-HN52-16.html")</f>
        <v>https://view.gem360.in/gem360/0804220957-HN52-36/gem360-0804220957-HN52-16.html</v>
      </c>
    </row>
    <row r="304" ht="15.75" spans="1:54">
      <c r="A304" s="2" t="s">
        <v>1021</v>
      </c>
      <c r="B304" s="3" t="s">
        <v>63</v>
      </c>
      <c r="C304" s="2" t="s">
        <v>1012</v>
      </c>
      <c r="D304" s="2">
        <v>2.14</v>
      </c>
      <c r="E304" s="2" t="s">
        <v>65</v>
      </c>
      <c r="F304" s="2" t="s">
        <v>91</v>
      </c>
      <c r="G304" s="2" t="s">
        <v>67</v>
      </c>
      <c r="H304" s="2" t="s">
        <v>68</v>
      </c>
      <c r="I304" s="2" t="s">
        <v>68</v>
      </c>
      <c r="J304" s="2" t="s">
        <v>70</v>
      </c>
      <c r="L304" s="2" t="s">
        <v>1022</v>
      </c>
      <c r="O304" t="s">
        <v>72</v>
      </c>
      <c r="P304" s="2">
        <v>520212219</v>
      </c>
      <c r="R304" s="2">
        <v>17000</v>
      </c>
      <c r="S304" s="4">
        <f t="shared" si="8"/>
        <v>36380</v>
      </c>
      <c r="T304" s="4">
        <v>-97</v>
      </c>
      <c r="U304" s="4">
        <f t="shared" si="9"/>
        <v>1091.4</v>
      </c>
      <c r="V304" s="5">
        <v>0.621</v>
      </c>
      <c r="W304" s="6">
        <v>0.58</v>
      </c>
      <c r="AU304" s="3" t="s">
        <v>73</v>
      </c>
      <c r="AW304" s="2" t="s">
        <v>74</v>
      </c>
      <c r="AZ304" t="s">
        <v>1023</v>
      </c>
      <c r="BB304" s="7" t="str">
        <f>HYPERLINK("https://view.gem360.in/gem360/0504220704-HN52-39/gem360-0504220704-HN52-39.html","https://view.gem360.in/gem360/0504220704-HN52-39/gem360-0504220704-HN52-39.html")</f>
        <v>https://view.gem360.in/gem360/0504220704-HN52-39/gem360-0504220704-HN52-39.html</v>
      </c>
    </row>
    <row r="305" ht="15.75" spans="1:54">
      <c r="A305" s="2" t="s">
        <v>1024</v>
      </c>
      <c r="B305" s="3" t="s">
        <v>63</v>
      </c>
      <c r="C305" s="2" t="s">
        <v>1012</v>
      </c>
      <c r="D305" s="2">
        <v>2.14</v>
      </c>
      <c r="E305" s="2" t="s">
        <v>63</v>
      </c>
      <c r="F305" s="2" t="s">
        <v>91</v>
      </c>
      <c r="G305" s="2" t="s">
        <v>67</v>
      </c>
      <c r="H305" s="2" t="s">
        <v>68</v>
      </c>
      <c r="I305" s="2" t="s">
        <v>68</v>
      </c>
      <c r="J305" s="2" t="s">
        <v>70</v>
      </c>
      <c r="L305" s="2" t="s">
        <v>1025</v>
      </c>
      <c r="O305" t="s">
        <v>72</v>
      </c>
      <c r="P305" s="2">
        <v>523271698</v>
      </c>
      <c r="R305" s="2">
        <v>15500</v>
      </c>
      <c r="S305" s="4">
        <f t="shared" si="8"/>
        <v>33170</v>
      </c>
      <c r="T305" s="4">
        <v>-97</v>
      </c>
      <c r="U305" s="4">
        <f t="shared" si="9"/>
        <v>995.1</v>
      </c>
      <c r="V305" s="5">
        <v>0.614</v>
      </c>
      <c r="W305" s="5">
        <v>0.605</v>
      </c>
      <c r="AU305" s="3" t="s">
        <v>73</v>
      </c>
      <c r="AW305" s="2" t="s">
        <v>74</v>
      </c>
      <c r="AZ305" t="s">
        <v>1026</v>
      </c>
      <c r="BB305" s="7" t="str">
        <f>HYPERLINK("","")</f>
        <v/>
      </c>
    </row>
    <row r="306" ht="15.75" spans="1:54">
      <c r="A306" s="2" t="s">
        <v>1027</v>
      </c>
      <c r="B306" s="3" t="s">
        <v>63</v>
      </c>
      <c r="C306" s="2" t="s">
        <v>1012</v>
      </c>
      <c r="D306" s="2">
        <v>2.02</v>
      </c>
      <c r="E306" s="2" t="s">
        <v>63</v>
      </c>
      <c r="F306" s="2" t="s">
        <v>66</v>
      </c>
      <c r="G306" s="2" t="s">
        <v>67</v>
      </c>
      <c r="H306" s="2" t="s">
        <v>68</v>
      </c>
      <c r="I306" s="2" t="s">
        <v>68</v>
      </c>
      <c r="J306" s="2" t="s">
        <v>70</v>
      </c>
      <c r="L306" s="2" t="s">
        <v>1028</v>
      </c>
      <c r="O306" t="s">
        <v>72</v>
      </c>
      <c r="P306" s="2">
        <v>520212220</v>
      </c>
      <c r="R306" s="2">
        <v>14500</v>
      </c>
      <c r="S306" s="4">
        <f t="shared" si="8"/>
        <v>29290</v>
      </c>
      <c r="T306" s="4">
        <v>-97</v>
      </c>
      <c r="U306" s="4">
        <f t="shared" si="9"/>
        <v>878.7</v>
      </c>
      <c r="V306" s="5">
        <v>0.622</v>
      </c>
      <c r="W306" s="5">
        <v>0.615</v>
      </c>
      <c r="AU306" s="3" t="s">
        <v>73</v>
      </c>
      <c r="AW306" s="2" t="s">
        <v>74</v>
      </c>
      <c r="AZ306" t="s">
        <v>1029</v>
      </c>
      <c r="BB306" s="7" t="str">
        <f>HYPERLINK("","")</f>
        <v/>
      </c>
    </row>
    <row r="307" ht="15.75" spans="1:54">
      <c r="A307" s="2" t="s">
        <v>1030</v>
      </c>
      <c r="B307" s="3" t="s">
        <v>63</v>
      </c>
      <c r="C307" s="2" t="s">
        <v>1012</v>
      </c>
      <c r="D307" s="2">
        <v>2</v>
      </c>
      <c r="E307" s="2" t="s">
        <v>63</v>
      </c>
      <c r="F307" s="2" t="s">
        <v>91</v>
      </c>
      <c r="G307" s="2" t="s">
        <v>67</v>
      </c>
      <c r="H307" s="2" t="s">
        <v>68</v>
      </c>
      <c r="I307" s="2" t="s">
        <v>68</v>
      </c>
      <c r="J307" s="2" t="s">
        <v>70</v>
      </c>
      <c r="L307" s="2" t="s">
        <v>1031</v>
      </c>
      <c r="O307" t="s">
        <v>72</v>
      </c>
      <c r="P307" s="2">
        <v>522253998</v>
      </c>
      <c r="R307" s="2">
        <v>15500</v>
      </c>
      <c r="S307" s="4">
        <f t="shared" si="8"/>
        <v>31000</v>
      </c>
      <c r="T307" s="4">
        <v>-97</v>
      </c>
      <c r="U307" s="4">
        <f t="shared" si="9"/>
        <v>930</v>
      </c>
      <c r="V307" s="6">
        <v>0.63</v>
      </c>
      <c r="W307" s="5">
        <v>0.635</v>
      </c>
      <c r="AU307" s="3" t="s">
        <v>73</v>
      </c>
      <c r="AW307" s="2" t="s">
        <v>74</v>
      </c>
      <c r="AZ307" t="s">
        <v>1032</v>
      </c>
      <c r="BB307" s="7" t="str">
        <f>HYPERLINK("","")</f>
        <v/>
      </c>
    </row>
    <row r="308" ht="15.75" spans="1:54">
      <c r="A308" s="2" t="s">
        <v>1033</v>
      </c>
      <c r="B308" s="3" t="s">
        <v>63</v>
      </c>
      <c r="C308" s="2" t="s">
        <v>1012</v>
      </c>
      <c r="D308" s="2">
        <v>1.71</v>
      </c>
      <c r="E308" s="2" t="s">
        <v>65</v>
      </c>
      <c r="F308" s="2" t="s">
        <v>143</v>
      </c>
      <c r="G308" s="2" t="s">
        <v>67</v>
      </c>
      <c r="H308" s="2" t="s">
        <v>68</v>
      </c>
      <c r="I308" s="2" t="s">
        <v>68</v>
      </c>
      <c r="J308" s="2" t="s">
        <v>70</v>
      </c>
      <c r="L308" s="2" t="s">
        <v>1034</v>
      </c>
      <c r="O308" t="s">
        <v>72</v>
      </c>
      <c r="P308" s="2">
        <v>551214624</v>
      </c>
      <c r="R308" s="2">
        <v>12700</v>
      </c>
      <c r="S308" s="4">
        <f t="shared" si="8"/>
        <v>21717</v>
      </c>
      <c r="T308" s="4">
        <v>-97</v>
      </c>
      <c r="U308" s="4">
        <f t="shared" si="9"/>
        <v>651.51</v>
      </c>
      <c r="V308" s="5">
        <v>0.633</v>
      </c>
      <c r="W308" s="6">
        <v>0.57</v>
      </c>
      <c r="AU308" s="3" t="s">
        <v>73</v>
      </c>
      <c r="AW308" s="2" t="s">
        <v>74</v>
      </c>
      <c r="AZ308" t="s">
        <v>1035</v>
      </c>
      <c r="BB308" s="7" t="str">
        <f>HYPERLINK("https://v360.in/diamondview.aspx?cid=preet&amp;d=HN-127-20","https://v360.in/diamondview.aspx?cid=preet&amp;d=HN-127-20")</f>
        <v>https://v360.in/diamondview.aspx?cid=preet&amp;d=HN-127-20</v>
      </c>
    </row>
    <row r="309" ht="15.75" spans="1:54">
      <c r="A309" s="2" t="s">
        <v>1036</v>
      </c>
      <c r="B309" s="3" t="s">
        <v>63</v>
      </c>
      <c r="C309" s="2" t="s">
        <v>1012</v>
      </c>
      <c r="D309" s="2">
        <v>1.5</v>
      </c>
      <c r="E309" s="2" t="s">
        <v>119</v>
      </c>
      <c r="F309" s="2" t="s">
        <v>66</v>
      </c>
      <c r="G309" s="2" t="s">
        <v>67</v>
      </c>
      <c r="H309" s="2" t="s">
        <v>68</v>
      </c>
      <c r="I309" s="2" t="s">
        <v>68</v>
      </c>
      <c r="J309" s="2" t="s">
        <v>70</v>
      </c>
      <c r="L309" s="2" t="s">
        <v>1037</v>
      </c>
      <c r="O309" t="s">
        <v>72</v>
      </c>
      <c r="P309" s="2">
        <v>561278601</v>
      </c>
      <c r="R309" s="2">
        <v>11800</v>
      </c>
      <c r="S309" s="4">
        <f t="shared" si="8"/>
        <v>17700</v>
      </c>
      <c r="T309" s="4">
        <v>-97</v>
      </c>
      <c r="U309" s="4">
        <f t="shared" si="9"/>
        <v>531</v>
      </c>
      <c r="V309" s="5">
        <v>0.583</v>
      </c>
      <c r="W309" s="2">
        <v>64</v>
      </c>
      <c r="AU309" s="3" t="s">
        <v>73</v>
      </c>
      <c r="AW309" s="2" t="s">
        <v>93</v>
      </c>
      <c r="AZ309" t="s">
        <v>1038</v>
      </c>
      <c r="BB309" s="7" t="str">
        <f>HYPERLINK("https://v360.in/diamondview.aspx?cid=preet&amp;d=HN-130-102","https://v360.in/diamondview.aspx?cid=preet&amp;d=HN-130-102")</f>
        <v>https://v360.in/diamondview.aspx?cid=preet&amp;d=HN-130-102</v>
      </c>
    </row>
    <row r="310" ht="15.75" spans="1:54">
      <c r="A310" s="2" t="s">
        <v>1039</v>
      </c>
      <c r="B310" s="3" t="s">
        <v>789</v>
      </c>
      <c r="C310" s="2" t="s">
        <v>1012</v>
      </c>
      <c r="D310" s="2">
        <v>1.5</v>
      </c>
      <c r="E310" s="2" t="s">
        <v>558</v>
      </c>
      <c r="F310" s="2" t="s">
        <v>66</v>
      </c>
      <c r="G310" s="2" t="s">
        <v>67</v>
      </c>
      <c r="H310" s="2" t="s">
        <v>68</v>
      </c>
      <c r="I310" s="2" t="s">
        <v>68</v>
      </c>
      <c r="J310" s="2" t="s">
        <v>70</v>
      </c>
      <c r="L310" s="2" t="s">
        <v>1040</v>
      </c>
      <c r="O310" t="s">
        <v>72</v>
      </c>
      <c r="P310" s="2">
        <v>529266463</v>
      </c>
      <c r="R310" s="2">
        <v>7600</v>
      </c>
      <c r="S310" s="4">
        <f t="shared" si="8"/>
        <v>11400</v>
      </c>
      <c r="T310" s="4">
        <v>-97</v>
      </c>
      <c r="U310" s="4">
        <f t="shared" si="9"/>
        <v>342</v>
      </c>
      <c r="V310" s="5">
        <v>0.657</v>
      </c>
      <c r="W310" s="6">
        <v>0.55</v>
      </c>
      <c r="AU310" s="3" t="s">
        <v>73</v>
      </c>
      <c r="AW310" s="2" t="s">
        <v>74</v>
      </c>
      <c r="AZ310" t="s">
        <v>1041</v>
      </c>
      <c r="BB310" s="7" t="str">
        <f>HYPERLINK("","")</f>
        <v/>
      </c>
    </row>
    <row r="311" ht="15.75" spans="1:54">
      <c r="A311" s="2" t="s">
        <v>1042</v>
      </c>
      <c r="B311" s="3" t="s">
        <v>63</v>
      </c>
      <c r="C311" s="2" t="s">
        <v>1012</v>
      </c>
      <c r="D311" s="2">
        <v>1.35</v>
      </c>
      <c r="E311" s="2" t="s">
        <v>65</v>
      </c>
      <c r="F311" s="2" t="s">
        <v>91</v>
      </c>
      <c r="G311" s="2" t="s">
        <v>67</v>
      </c>
      <c r="H311" s="2" t="s">
        <v>68</v>
      </c>
      <c r="I311" s="2" t="s">
        <v>68</v>
      </c>
      <c r="J311" s="2" t="s">
        <v>70</v>
      </c>
      <c r="L311" s="2" t="s">
        <v>1043</v>
      </c>
      <c r="O311" t="s">
        <v>72</v>
      </c>
      <c r="P311" s="2">
        <v>563201924</v>
      </c>
      <c r="R311" s="2">
        <v>7500</v>
      </c>
      <c r="S311" s="4">
        <f t="shared" si="8"/>
        <v>10125</v>
      </c>
      <c r="T311" s="4">
        <v>-97</v>
      </c>
      <c r="U311" s="4">
        <f t="shared" si="9"/>
        <v>303.75</v>
      </c>
      <c r="V311" s="5">
        <v>0.633</v>
      </c>
      <c r="W311" s="6">
        <v>0.62</v>
      </c>
      <c r="AU311" s="3" t="s">
        <v>73</v>
      </c>
      <c r="AW311" s="2" t="s">
        <v>93</v>
      </c>
      <c r="AZ311" t="s">
        <v>1044</v>
      </c>
      <c r="BB311" s="7" t="str">
        <f>HYPERLINK("https://v360.in/diamondview.aspx?cid=preet&amp;d=HN-134-90","https://v360.in/diamondview.aspx?cid=preet&amp;d=HN-134-90")</f>
        <v>https://v360.in/diamondview.aspx?cid=preet&amp;d=HN-134-90</v>
      </c>
    </row>
    <row r="312" ht="15.75" spans="1:54">
      <c r="A312" s="2" t="s">
        <v>1045</v>
      </c>
      <c r="B312" s="3" t="s">
        <v>63</v>
      </c>
      <c r="C312" s="2" t="s">
        <v>1012</v>
      </c>
      <c r="D312" s="2">
        <v>1.18</v>
      </c>
      <c r="E312" s="2" t="s">
        <v>63</v>
      </c>
      <c r="F312" s="2" t="s">
        <v>66</v>
      </c>
      <c r="G312" s="2" t="s">
        <v>67</v>
      </c>
      <c r="H312" s="2" t="s">
        <v>68</v>
      </c>
      <c r="I312" s="2" t="s">
        <v>68</v>
      </c>
      <c r="J312" s="2" t="s">
        <v>70</v>
      </c>
      <c r="L312" s="2" t="s">
        <v>1046</v>
      </c>
      <c r="O312" t="s">
        <v>72</v>
      </c>
      <c r="P312" s="2">
        <v>570376230</v>
      </c>
      <c r="R312" s="2">
        <v>6600</v>
      </c>
      <c r="S312" s="4">
        <f t="shared" si="8"/>
        <v>7788</v>
      </c>
      <c r="T312" s="4">
        <v>-97</v>
      </c>
      <c r="U312" s="4">
        <f t="shared" si="9"/>
        <v>233.64</v>
      </c>
      <c r="V312" s="5">
        <v>0.598</v>
      </c>
      <c r="W312" s="6">
        <v>0.57</v>
      </c>
      <c r="AU312" s="3" t="s">
        <v>73</v>
      </c>
      <c r="AW312" s="2" t="s">
        <v>93</v>
      </c>
      <c r="AZ312" t="s">
        <v>1047</v>
      </c>
      <c r="BB312" s="7" t="str">
        <f>HYPERLINK("https://v360.in/diamondview.aspx?cid=preet&amp;d=HN-142-29","https://v360.in/diamondview.aspx?cid=preet&amp;d=HN-142-29")</f>
        <v>https://v360.in/diamondview.aspx?cid=preet&amp;d=HN-142-29</v>
      </c>
    </row>
    <row r="313" ht="15.75" spans="1:54">
      <c r="A313" s="2" t="s">
        <v>1048</v>
      </c>
      <c r="B313" s="3" t="s">
        <v>63</v>
      </c>
      <c r="C313" s="2" t="s">
        <v>1012</v>
      </c>
      <c r="D313" s="2">
        <v>1.15</v>
      </c>
      <c r="E313" s="2" t="s">
        <v>63</v>
      </c>
      <c r="F313" s="2" t="s">
        <v>91</v>
      </c>
      <c r="G313" s="2" t="s">
        <v>67</v>
      </c>
      <c r="H313" s="2" t="s">
        <v>68</v>
      </c>
      <c r="I313" s="2" t="s">
        <v>68</v>
      </c>
      <c r="J313" s="2" t="s">
        <v>70</v>
      </c>
      <c r="L313" s="2" t="s">
        <v>1049</v>
      </c>
      <c r="O313" t="s">
        <v>72</v>
      </c>
      <c r="P313" s="2">
        <v>570376204</v>
      </c>
      <c r="R313" s="2">
        <v>7000</v>
      </c>
      <c r="S313" s="4">
        <f t="shared" si="8"/>
        <v>8050</v>
      </c>
      <c r="T313" s="4">
        <v>-97</v>
      </c>
      <c r="U313" s="4">
        <f t="shared" si="9"/>
        <v>241.5</v>
      </c>
      <c r="V313" s="5">
        <v>0.611</v>
      </c>
      <c r="W313" s="6">
        <v>0.63</v>
      </c>
      <c r="AU313" s="3" t="s">
        <v>73</v>
      </c>
      <c r="AW313" s="2" t="s">
        <v>93</v>
      </c>
      <c r="AZ313" t="s">
        <v>1050</v>
      </c>
      <c r="BB313" s="7" t="str">
        <f>HYPERLINK("https://v360.in/diamondview.aspx?cid=preet&amp;d=HN-148-19","https://v360.in/diamondview.aspx?cid=preet&amp;d=HN-148-19")</f>
        <v>https://v360.in/diamondview.aspx?cid=preet&amp;d=HN-148-19</v>
      </c>
    </row>
    <row r="314" ht="15.75" spans="1:54">
      <c r="A314" s="2" t="s">
        <v>1051</v>
      </c>
      <c r="B314" s="3" t="s">
        <v>63</v>
      </c>
      <c r="C314" s="2" t="s">
        <v>1012</v>
      </c>
      <c r="D314" s="2">
        <v>1.13</v>
      </c>
      <c r="E314" s="2" t="s">
        <v>65</v>
      </c>
      <c r="F314" s="2" t="s">
        <v>91</v>
      </c>
      <c r="G314" s="2" t="s">
        <v>67</v>
      </c>
      <c r="H314" s="2" t="s">
        <v>68</v>
      </c>
      <c r="I314" s="2" t="s">
        <v>68</v>
      </c>
      <c r="J314" s="2" t="s">
        <v>70</v>
      </c>
      <c r="L314" s="2" t="s">
        <v>1052</v>
      </c>
      <c r="O314" t="s">
        <v>72</v>
      </c>
      <c r="P314" s="2">
        <v>549294084</v>
      </c>
      <c r="R314" s="2">
        <v>7500</v>
      </c>
      <c r="S314" s="4">
        <f t="shared" si="8"/>
        <v>8475</v>
      </c>
      <c r="T314" s="4">
        <v>-97</v>
      </c>
      <c r="U314" s="4">
        <f t="shared" si="9"/>
        <v>254.25</v>
      </c>
      <c r="V314" s="5">
        <v>0.611</v>
      </c>
      <c r="W314" s="6">
        <v>0.64</v>
      </c>
      <c r="AU314" s="3" t="s">
        <v>73</v>
      </c>
      <c r="AW314" s="2" t="s">
        <v>74</v>
      </c>
      <c r="AZ314" t="s">
        <v>1053</v>
      </c>
      <c r="BB314" s="7" t="str">
        <f>HYPERLINK("","")</f>
        <v/>
      </c>
    </row>
    <row r="315" ht="15.75" spans="1:54">
      <c r="A315" s="2" t="s">
        <v>1054</v>
      </c>
      <c r="B315" s="3" t="s">
        <v>63</v>
      </c>
      <c r="C315" s="2" t="s">
        <v>1012</v>
      </c>
      <c r="D315" s="2">
        <v>1.11</v>
      </c>
      <c r="E315" s="2" t="s">
        <v>65</v>
      </c>
      <c r="F315" s="2" t="s">
        <v>91</v>
      </c>
      <c r="G315" s="2" t="s">
        <v>67</v>
      </c>
      <c r="H315" s="2" t="s">
        <v>68</v>
      </c>
      <c r="I315" s="2" t="s">
        <v>68</v>
      </c>
      <c r="J315" s="2" t="s">
        <v>70</v>
      </c>
      <c r="L315" s="2" t="s">
        <v>1055</v>
      </c>
      <c r="O315" t="s">
        <v>72</v>
      </c>
      <c r="P315" s="2">
        <v>547248644</v>
      </c>
      <c r="R315" s="2">
        <v>7500</v>
      </c>
      <c r="S315" s="4">
        <f t="shared" si="8"/>
        <v>8325</v>
      </c>
      <c r="T315" s="4">
        <v>-97</v>
      </c>
      <c r="U315" s="4">
        <f t="shared" si="9"/>
        <v>249.75</v>
      </c>
      <c r="V315" s="5">
        <v>0.607</v>
      </c>
      <c r="W315" s="6">
        <v>0.63</v>
      </c>
      <c r="AU315" s="3" t="s">
        <v>73</v>
      </c>
      <c r="AW315" s="2" t="s">
        <v>74</v>
      </c>
      <c r="AZ315" t="s">
        <v>1056</v>
      </c>
      <c r="BB315" s="7" t="str">
        <f>HYPERLINK("https://v360.in/diamondview.aspx?cid=meet&amp;d=HN-86-126","https://v360.in/diamondview.aspx?cid=meet&amp;d=HN-86-126")</f>
        <v>https://v360.in/diamondview.aspx?cid=meet&amp;d=HN-86-126</v>
      </c>
    </row>
    <row r="316" ht="15.75" spans="1:54">
      <c r="A316" s="2" t="s">
        <v>1057</v>
      </c>
      <c r="B316" s="3" t="s">
        <v>63</v>
      </c>
      <c r="C316" s="2" t="s">
        <v>1012</v>
      </c>
      <c r="D316" s="2">
        <v>1.03</v>
      </c>
      <c r="E316" s="2" t="s">
        <v>63</v>
      </c>
      <c r="F316" s="2" t="s">
        <v>91</v>
      </c>
      <c r="G316" s="2" t="s">
        <v>67</v>
      </c>
      <c r="H316" s="2" t="s">
        <v>68</v>
      </c>
      <c r="I316" s="2" t="s">
        <v>68</v>
      </c>
      <c r="J316" s="2" t="s">
        <v>70</v>
      </c>
      <c r="L316" s="2" t="s">
        <v>1058</v>
      </c>
      <c r="O316" t="s">
        <v>72</v>
      </c>
      <c r="P316" s="2">
        <v>566393794</v>
      </c>
      <c r="R316" s="2">
        <v>7000</v>
      </c>
      <c r="S316" s="4">
        <f t="shared" si="8"/>
        <v>7210</v>
      </c>
      <c r="T316" s="4">
        <v>-97</v>
      </c>
      <c r="U316" s="4">
        <f t="shared" si="9"/>
        <v>216.3</v>
      </c>
      <c r="V316" s="5">
        <v>0.624</v>
      </c>
      <c r="W316" s="6">
        <v>0.59</v>
      </c>
      <c r="AU316" s="3" t="s">
        <v>73</v>
      </c>
      <c r="AW316" s="2" t="s">
        <v>93</v>
      </c>
      <c r="AZ316" t="s">
        <v>1059</v>
      </c>
      <c r="BB316" s="7" t="str">
        <f>HYPERLINK("https://v360.in/diamondview.aspx?cid=preet&amp;d=HN-135-40","https://v360.in/diamondview.aspx?cid=preet&amp;d=HN-135-40")</f>
        <v>https://v360.in/diamondview.aspx?cid=preet&amp;d=HN-135-40</v>
      </c>
    </row>
    <row r="317" ht="15.75" spans="1:54">
      <c r="A317" s="2" t="s">
        <v>1060</v>
      </c>
      <c r="B317" s="3" t="s">
        <v>63</v>
      </c>
      <c r="C317" s="2" t="s">
        <v>1012</v>
      </c>
      <c r="D317" s="2">
        <v>1.03</v>
      </c>
      <c r="E317" s="2" t="s">
        <v>63</v>
      </c>
      <c r="F317" s="2" t="s">
        <v>91</v>
      </c>
      <c r="G317" s="2" t="s">
        <v>67</v>
      </c>
      <c r="H317" s="2" t="s">
        <v>68</v>
      </c>
      <c r="I317" s="2" t="s">
        <v>68</v>
      </c>
      <c r="J317" s="2" t="s">
        <v>70</v>
      </c>
      <c r="L317" s="2" t="s">
        <v>1061</v>
      </c>
      <c r="O317" t="s">
        <v>72</v>
      </c>
      <c r="P317" s="2">
        <v>571307673</v>
      </c>
      <c r="R317" s="2">
        <v>7000</v>
      </c>
      <c r="S317" s="4">
        <f t="shared" si="8"/>
        <v>7210</v>
      </c>
      <c r="T317" s="4">
        <v>-97</v>
      </c>
      <c r="U317" s="4">
        <f t="shared" si="9"/>
        <v>216.3</v>
      </c>
      <c r="V317" s="5">
        <v>0.588</v>
      </c>
      <c r="W317" s="6">
        <v>0.59</v>
      </c>
      <c r="AU317" s="3" t="s">
        <v>73</v>
      </c>
      <c r="AW317" s="2" t="s">
        <v>93</v>
      </c>
      <c r="AZ317" t="s">
        <v>1062</v>
      </c>
      <c r="BB317" s="7" t="s">
        <v>1063</v>
      </c>
    </row>
    <row r="318" ht="15.75" spans="1:54">
      <c r="A318" s="2" t="s">
        <v>1064</v>
      </c>
      <c r="B318" s="3" t="s">
        <v>63</v>
      </c>
      <c r="C318" s="2" t="s">
        <v>1012</v>
      </c>
      <c r="D318" s="2">
        <v>1.01</v>
      </c>
      <c r="E318" s="2" t="s">
        <v>63</v>
      </c>
      <c r="F318" s="2" t="s">
        <v>66</v>
      </c>
      <c r="G318" s="2" t="s">
        <v>67</v>
      </c>
      <c r="H318" s="2" t="s">
        <v>68</v>
      </c>
      <c r="I318" s="2" t="s">
        <v>68</v>
      </c>
      <c r="J318" s="2" t="s">
        <v>70</v>
      </c>
      <c r="L318" s="2" t="s">
        <v>1065</v>
      </c>
      <c r="O318" t="s">
        <v>72</v>
      </c>
      <c r="P318" s="2">
        <v>566393793</v>
      </c>
      <c r="R318" s="2">
        <v>6600</v>
      </c>
      <c r="S318" s="4">
        <f t="shared" si="8"/>
        <v>6666</v>
      </c>
      <c r="T318" s="4">
        <v>-97</v>
      </c>
      <c r="U318" s="4">
        <f t="shared" si="9"/>
        <v>199.98</v>
      </c>
      <c r="V318" s="5">
        <v>0.613</v>
      </c>
      <c r="W318" s="5">
        <v>0.595</v>
      </c>
      <c r="AU318" s="3" t="s">
        <v>73</v>
      </c>
      <c r="AW318" s="2" t="s">
        <v>93</v>
      </c>
      <c r="AZ318" t="s">
        <v>1066</v>
      </c>
      <c r="BB318" s="7" t="str">
        <f>HYPERLINK("https://v360.in/diamondview.aspx?cid=preet&amp;d=HN-135-38","https://v360.in/diamondview.aspx?cid=preet&amp;d=HN-135-38")</f>
        <v>https://v360.in/diamondview.aspx?cid=preet&amp;d=HN-135-38</v>
      </c>
    </row>
    <row r="319" ht="15.75" spans="1:54">
      <c r="A319" s="2" t="s">
        <v>1067</v>
      </c>
      <c r="B319" s="3" t="s">
        <v>63</v>
      </c>
      <c r="C319" s="2" t="s">
        <v>1012</v>
      </c>
      <c r="D319" s="2">
        <v>1.01</v>
      </c>
      <c r="E319" s="2" t="s">
        <v>63</v>
      </c>
      <c r="F319" s="2" t="s">
        <v>66</v>
      </c>
      <c r="G319" s="2" t="s">
        <v>67</v>
      </c>
      <c r="H319" s="2" t="s">
        <v>68</v>
      </c>
      <c r="I319" s="2" t="s">
        <v>68</v>
      </c>
      <c r="J319" s="2" t="s">
        <v>70</v>
      </c>
      <c r="L319" s="2" t="s">
        <v>1068</v>
      </c>
      <c r="O319" t="s">
        <v>72</v>
      </c>
      <c r="P319" s="2">
        <v>571307672</v>
      </c>
      <c r="R319" s="2">
        <v>6600</v>
      </c>
      <c r="S319" s="4">
        <f t="shared" si="8"/>
        <v>6666</v>
      </c>
      <c r="T319" s="4">
        <v>-97</v>
      </c>
      <c r="U319" s="4">
        <f t="shared" si="9"/>
        <v>199.98</v>
      </c>
      <c r="V319" s="5">
        <v>0.589</v>
      </c>
      <c r="W319" s="5">
        <v>0.585</v>
      </c>
      <c r="AU319" s="3" t="s">
        <v>73</v>
      </c>
      <c r="AW319" s="2" t="s">
        <v>93</v>
      </c>
      <c r="AZ319" t="s">
        <v>1069</v>
      </c>
      <c r="BB319" s="7" t="s">
        <v>1070</v>
      </c>
    </row>
    <row r="320" ht="15.75" spans="1:54">
      <c r="A320" s="2" t="s">
        <v>1071</v>
      </c>
      <c r="B320" s="3" t="s">
        <v>63</v>
      </c>
      <c r="C320" s="2" t="s">
        <v>1012</v>
      </c>
      <c r="D320" s="2">
        <v>1</v>
      </c>
      <c r="E320" s="2" t="s">
        <v>65</v>
      </c>
      <c r="F320" s="2" t="s">
        <v>143</v>
      </c>
      <c r="G320" s="2" t="s">
        <v>67</v>
      </c>
      <c r="H320" s="2" t="s">
        <v>68</v>
      </c>
      <c r="I320" s="2" t="s">
        <v>68</v>
      </c>
      <c r="J320" s="2" t="s">
        <v>70</v>
      </c>
      <c r="L320" s="2" t="s">
        <v>1072</v>
      </c>
      <c r="O320" t="s">
        <v>72</v>
      </c>
      <c r="P320" s="2">
        <v>569328549</v>
      </c>
      <c r="R320" s="2">
        <v>8000</v>
      </c>
      <c r="S320" s="4">
        <f t="shared" si="8"/>
        <v>8000</v>
      </c>
      <c r="T320" s="4">
        <v>-97</v>
      </c>
      <c r="U320" s="4">
        <f t="shared" si="9"/>
        <v>240</v>
      </c>
      <c r="V320" s="5">
        <v>0.609</v>
      </c>
      <c r="W320" s="6">
        <v>0.61</v>
      </c>
      <c r="AU320" s="3" t="s">
        <v>73</v>
      </c>
      <c r="AW320" s="2" t="s">
        <v>93</v>
      </c>
      <c r="AZ320" t="s">
        <v>1073</v>
      </c>
      <c r="BB320" s="7" t="str">
        <f>HYPERLINK("https://v360.in/diamondview.aspx?cid=preet&amp;d=HN-137-24","https://v360.in/diamondview.aspx?cid=preet&amp;d=HN-137-24")</f>
        <v>https://v360.in/diamondview.aspx?cid=preet&amp;d=HN-137-24</v>
      </c>
    </row>
    <row r="321" ht="15.75" spans="1:54">
      <c r="A321" s="2" t="s">
        <v>1074</v>
      </c>
      <c r="B321" s="3" t="s">
        <v>63</v>
      </c>
      <c r="C321" s="2" t="s">
        <v>1012</v>
      </c>
      <c r="D321" s="2">
        <v>1</v>
      </c>
      <c r="E321" s="2" t="s">
        <v>65</v>
      </c>
      <c r="F321" s="2" t="s">
        <v>66</v>
      </c>
      <c r="G321" s="2" t="s">
        <v>67</v>
      </c>
      <c r="H321" s="2" t="s">
        <v>68</v>
      </c>
      <c r="I321" s="2" t="s">
        <v>68</v>
      </c>
      <c r="J321" s="2" t="s">
        <v>70</v>
      </c>
      <c r="L321" s="2" t="s">
        <v>1075</v>
      </c>
      <c r="O321" t="s">
        <v>72</v>
      </c>
      <c r="P321" s="2">
        <v>569328548</v>
      </c>
      <c r="R321" s="2">
        <v>6900</v>
      </c>
      <c r="S321" s="4">
        <f t="shared" si="8"/>
        <v>6900</v>
      </c>
      <c r="T321" s="4">
        <v>-97</v>
      </c>
      <c r="U321" s="4">
        <f t="shared" si="9"/>
        <v>207</v>
      </c>
      <c r="V321" s="5">
        <v>0.594</v>
      </c>
      <c r="W321" s="6">
        <v>0.61</v>
      </c>
      <c r="AU321" s="3" t="s">
        <v>73</v>
      </c>
      <c r="AW321" s="2" t="s">
        <v>93</v>
      </c>
      <c r="AZ321" t="s">
        <v>1076</v>
      </c>
      <c r="BB321" s="7" t="str">
        <f>HYPERLINK("https://v360.in/diamondview.aspx?cid=preet&amp;d=HN-137-23","https://v360.in/diamondview.aspx?cid=preet&amp;d=HN-137-23")</f>
        <v>https://v360.in/diamondview.aspx?cid=preet&amp;d=HN-137-23</v>
      </c>
    </row>
    <row r="322" ht="15.75" spans="1:54">
      <c r="A322" s="2" t="s">
        <v>1077</v>
      </c>
      <c r="B322" s="3" t="s">
        <v>63</v>
      </c>
      <c r="C322" s="2" t="s">
        <v>1012</v>
      </c>
      <c r="D322" s="2">
        <v>1</v>
      </c>
      <c r="E322" s="2" t="s">
        <v>65</v>
      </c>
      <c r="F322" s="2" t="s">
        <v>314</v>
      </c>
      <c r="G322" s="2" t="s">
        <v>67</v>
      </c>
      <c r="H322" s="2" t="s">
        <v>68</v>
      </c>
      <c r="I322" s="2" t="s">
        <v>69</v>
      </c>
      <c r="J322" s="2" t="s">
        <v>70</v>
      </c>
      <c r="L322" s="2" t="s">
        <v>1078</v>
      </c>
      <c r="O322" t="s">
        <v>72</v>
      </c>
      <c r="P322" s="2">
        <v>547265228</v>
      </c>
      <c r="R322" s="2">
        <v>4900</v>
      </c>
      <c r="S322" s="4">
        <f t="shared" si="8"/>
        <v>4900</v>
      </c>
      <c r="T322" s="4">
        <v>-97</v>
      </c>
      <c r="U322" s="4">
        <f t="shared" si="9"/>
        <v>147</v>
      </c>
      <c r="V322" s="5">
        <v>0.666</v>
      </c>
      <c r="W322" s="6">
        <v>0.6</v>
      </c>
      <c r="AU322" s="3" t="s">
        <v>73</v>
      </c>
      <c r="AW322" s="2" t="s">
        <v>74</v>
      </c>
      <c r="AZ322" t="s">
        <v>1079</v>
      </c>
      <c r="BB322" s="7" t="str">
        <f>HYPERLINK("","")</f>
        <v/>
      </c>
    </row>
    <row r="323" ht="15.75" spans="1:54">
      <c r="A323" s="2" t="s">
        <v>1080</v>
      </c>
      <c r="B323" s="3" t="s">
        <v>63</v>
      </c>
      <c r="C323" s="2" t="s">
        <v>1012</v>
      </c>
      <c r="D323" s="2">
        <v>1</v>
      </c>
      <c r="E323" s="2" t="s">
        <v>63</v>
      </c>
      <c r="F323" s="2" t="s">
        <v>91</v>
      </c>
      <c r="G323" s="2" t="s">
        <v>67</v>
      </c>
      <c r="H323" s="2" t="s">
        <v>68</v>
      </c>
      <c r="I323" s="2" t="s">
        <v>69</v>
      </c>
      <c r="J323" s="2" t="s">
        <v>70</v>
      </c>
      <c r="L323" s="2" t="s">
        <v>1081</v>
      </c>
      <c r="O323" t="s">
        <v>72</v>
      </c>
      <c r="P323" s="2">
        <v>566310896</v>
      </c>
      <c r="R323" s="2">
        <v>7000</v>
      </c>
      <c r="S323" s="4">
        <f t="shared" ref="S323:S386" si="10">R323*D323</f>
        <v>7000</v>
      </c>
      <c r="T323" s="4">
        <v>-97</v>
      </c>
      <c r="U323" s="4">
        <f t="shared" ref="U323:U386" si="11">(R323+(R323*T323)/100)*D323</f>
        <v>210</v>
      </c>
      <c r="V323" s="5">
        <v>0.617</v>
      </c>
      <c r="W323" s="6">
        <v>0.57</v>
      </c>
      <c r="AU323" s="3" t="s">
        <v>73</v>
      </c>
      <c r="AW323" s="2" t="s">
        <v>93</v>
      </c>
      <c r="AZ323" t="s">
        <v>1082</v>
      </c>
      <c r="BB323" s="7" t="str">
        <f>HYPERLINK("https://v360.in/diamondview.aspx?cid=preet&amp;d=HN-135-39","https://v360.in/diamondview.aspx?cid=preet&amp;d=HN-135-39")</f>
        <v>https://v360.in/diamondview.aspx?cid=preet&amp;d=HN-135-39</v>
      </c>
    </row>
    <row r="324" ht="15.75" spans="1:54">
      <c r="A324" s="2" t="s">
        <v>1083</v>
      </c>
      <c r="B324" s="3" t="s">
        <v>63</v>
      </c>
      <c r="C324" s="2" t="s">
        <v>1012</v>
      </c>
      <c r="D324" s="2">
        <v>1</v>
      </c>
      <c r="E324" s="2" t="s">
        <v>63</v>
      </c>
      <c r="F324" s="2" t="s">
        <v>155</v>
      </c>
      <c r="G324" s="2" t="s">
        <v>67</v>
      </c>
      <c r="H324" s="2" t="s">
        <v>68</v>
      </c>
      <c r="I324" s="2" t="s">
        <v>69</v>
      </c>
      <c r="J324" s="2" t="s">
        <v>70</v>
      </c>
      <c r="L324" s="2" t="s">
        <v>1084</v>
      </c>
      <c r="O324" t="s">
        <v>72</v>
      </c>
      <c r="P324" s="2">
        <v>567356448</v>
      </c>
      <c r="R324" s="2">
        <v>5400</v>
      </c>
      <c r="S324" s="4">
        <f t="shared" si="10"/>
        <v>5400</v>
      </c>
      <c r="T324" s="4">
        <v>-97</v>
      </c>
      <c r="U324" s="4">
        <f t="shared" si="11"/>
        <v>162</v>
      </c>
      <c r="V324" s="5">
        <v>0.603</v>
      </c>
      <c r="W324" s="6">
        <v>0.59</v>
      </c>
      <c r="AU324" s="3" t="s">
        <v>73</v>
      </c>
      <c r="AW324" s="2" t="s">
        <v>93</v>
      </c>
      <c r="AZ324" t="s">
        <v>1085</v>
      </c>
      <c r="BB324" s="7" t="str">
        <f>HYPERLINK("https://v360.in/diamondview.aspx?cid=preet&amp;d=HN-136-23","https://v360.in/diamondview.aspx?cid=preet&amp;d=HN-136-23")</f>
        <v>https://v360.in/diamondview.aspx?cid=preet&amp;d=HN-136-23</v>
      </c>
    </row>
    <row r="325" ht="15.75" spans="1:54">
      <c r="A325" s="2" t="s">
        <v>1086</v>
      </c>
      <c r="B325" s="3" t="s">
        <v>63</v>
      </c>
      <c r="C325" s="2" t="s">
        <v>1087</v>
      </c>
      <c r="D325" s="2">
        <v>2.01</v>
      </c>
      <c r="E325" s="2" t="s">
        <v>65</v>
      </c>
      <c r="F325" s="2" t="s">
        <v>91</v>
      </c>
      <c r="G325" s="2" t="s">
        <v>67</v>
      </c>
      <c r="H325" s="2" t="s">
        <v>68</v>
      </c>
      <c r="I325" s="2" t="s">
        <v>68</v>
      </c>
      <c r="J325" s="2" t="s">
        <v>70</v>
      </c>
      <c r="L325" s="2" t="s">
        <v>1088</v>
      </c>
      <c r="O325" t="s">
        <v>72</v>
      </c>
      <c r="P325" s="2">
        <v>561278582</v>
      </c>
      <c r="R325" s="2">
        <v>17000</v>
      </c>
      <c r="S325" s="4">
        <f t="shared" si="10"/>
        <v>34170</v>
      </c>
      <c r="T325" s="4">
        <v>-97</v>
      </c>
      <c r="U325" s="4">
        <f t="shared" si="11"/>
        <v>1025.1</v>
      </c>
      <c r="V325" s="5">
        <v>0.587</v>
      </c>
      <c r="W325" s="2">
        <v>62</v>
      </c>
      <c r="AU325" s="3" t="s">
        <v>73</v>
      </c>
      <c r="AW325" s="2" t="s">
        <v>93</v>
      </c>
      <c r="AZ325" t="s">
        <v>1089</v>
      </c>
      <c r="BB325" s="7" t="str">
        <f>HYPERLINK("https://v360.in/diamondview.aspx?cid=preet&amp;d=HN-130-1","https://v360.in/diamondview.aspx?cid=preet&amp;d=HN-130-1")</f>
        <v>https://v360.in/diamondview.aspx?cid=preet&amp;d=HN-130-1</v>
      </c>
    </row>
    <row r="326" ht="15.75" spans="1:54">
      <c r="A326" s="2" t="s">
        <v>1090</v>
      </c>
      <c r="B326" s="3" t="s">
        <v>63</v>
      </c>
      <c r="C326" s="2" t="s">
        <v>1087</v>
      </c>
      <c r="D326" s="2">
        <v>1.81</v>
      </c>
      <c r="E326" s="2" t="s">
        <v>65</v>
      </c>
      <c r="F326" s="2" t="s">
        <v>91</v>
      </c>
      <c r="G326" s="2" t="s">
        <v>67</v>
      </c>
      <c r="H326" s="2" t="s">
        <v>68</v>
      </c>
      <c r="I326" s="2" t="s">
        <v>68</v>
      </c>
      <c r="J326" s="2" t="s">
        <v>70</v>
      </c>
      <c r="L326" s="2" t="s">
        <v>1091</v>
      </c>
      <c r="O326" t="s">
        <v>72</v>
      </c>
      <c r="P326" s="2">
        <v>553217185</v>
      </c>
      <c r="R326" s="2">
        <v>12200</v>
      </c>
      <c r="S326" s="4">
        <f t="shared" si="10"/>
        <v>22082</v>
      </c>
      <c r="T326" s="4">
        <v>-97</v>
      </c>
      <c r="U326" s="4">
        <f t="shared" si="11"/>
        <v>662.46</v>
      </c>
      <c r="V326" s="5">
        <v>0.622</v>
      </c>
      <c r="W326" s="6">
        <v>0.6</v>
      </c>
      <c r="AU326" s="3" t="s">
        <v>73</v>
      </c>
      <c r="AW326" s="2" t="s">
        <v>74</v>
      </c>
      <c r="AZ326" t="s">
        <v>1092</v>
      </c>
      <c r="BB326" s="7" t="str">
        <f>HYPERLINK("https://v360.in/diamondview.aspx?cid=preet&amp;d=HN-128-11","https://v360.in/diamondview.aspx?cid=preet&amp;d=HN-128-11")</f>
        <v>https://v360.in/diamondview.aspx?cid=preet&amp;d=HN-128-11</v>
      </c>
    </row>
    <row r="327" ht="15.75" spans="1:54">
      <c r="A327" s="2" t="s">
        <v>1093</v>
      </c>
      <c r="B327" s="3" t="s">
        <v>63</v>
      </c>
      <c r="C327" s="2" t="s">
        <v>1087</v>
      </c>
      <c r="D327" s="2">
        <v>1.6</v>
      </c>
      <c r="E327" s="2" t="s">
        <v>119</v>
      </c>
      <c r="F327" s="2" t="s">
        <v>66</v>
      </c>
      <c r="G327" s="2" t="s">
        <v>67</v>
      </c>
      <c r="H327" s="2" t="s">
        <v>68</v>
      </c>
      <c r="I327" s="2" t="s">
        <v>68</v>
      </c>
      <c r="J327" s="2" t="s">
        <v>70</v>
      </c>
      <c r="L327" s="2" t="s">
        <v>1094</v>
      </c>
      <c r="O327" t="s">
        <v>72</v>
      </c>
      <c r="P327" s="2">
        <v>561278598</v>
      </c>
      <c r="R327" s="2">
        <v>11800</v>
      </c>
      <c r="S327" s="4">
        <f t="shared" si="10"/>
        <v>18880</v>
      </c>
      <c r="T327" s="4">
        <v>-97</v>
      </c>
      <c r="U327" s="4">
        <f t="shared" si="11"/>
        <v>566.4</v>
      </c>
      <c r="V327" s="2">
        <v>62</v>
      </c>
      <c r="W327" s="2">
        <v>64</v>
      </c>
      <c r="AU327" s="3" t="s">
        <v>73</v>
      </c>
      <c r="AW327" s="2" t="s">
        <v>93</v>
      </c>
      <c r="AZ327" t="s">
        <v>1095</v>
      </c>
      <c r="BB327" s="7" t="str">
        <f>HYPERLINK("https://v360.in/diamondview.aspx?cid=preet&amp;d=HN-130-17","https://v360.in/diamondview.aspx?cid=preet&amp;d=HN-130-17")</f>
        <v>https://v360.in/diamondview.aspx?cid=preet&amp;d=HN-130-17</v>
      </c>
    </row>
    <row r="328" ht="15.75" spans="1:54">
      <c r="A328" s="2" t="s">
        <v>1096</v>
      </c>
      <c r="B328" s="3" t="s">
        <v>63</v>
      </c>
      <c r="C328" s="2" t="s">
        <v>1087</v>
      </c>
      <c r="D328" s="2">
        <v>1.5</v>
      </c>
      <c r="E328" s="2" t="s">
        <v>65</v>
      </c>
      <c r="F328" s="2" t="s">
        <v>66</v>
      </c>
      <c r="G328" s="2" t="s">
        <v>67</v>
      </c>
      <c r="H328" s="2" t="s">
        <v>68</v>
      </c>
      <c r="I328" s="2" t="s">
        <v>68</v>
      </c>
      <c r="J328" s="2" t="s">
        <v>70</v>
      </c>
      <c r="L328" s="2" t="s">
        <v>1097</v>
      </c>
      <c r="O328" t="s">
        <v>72</v>
      </c>
      <c r="P328" s="2">
        <v>553219381</v>
      </c>
      <c r="R328" s="2">
        <v>11200</v>
      </c>
      <c r="S328" s="4">
        <f t="shared" si="10"/>
        <v>16800</v>
      </c>
      <c r="T328" s="4">
        <v>-97</v>
      </c>
      <c r="U328" s="4">
        <f t="shared" si="11"/>
        <v>504</v>
      </c>
      <c r="V328" s="5">
        <v>0.588</v>
      </c>
      <c r="W328" s="6">
        <v>0.57</v>
      </c>
      <c r="AU328" s="3" t="s">
        <v>73</v>
      </c>
      <c r="AW328" s="2" t="s">
        <v>74</v>
      </c>
      <c r="AZ328" t="s">
        <v>1098</v>
      </c>
      <c r="BB328" s="7" t="str">
        <f>HYPERLINK("https://v360.in/diamondview.aspx?cid=preet&amp;d=HN-127-14","https://v360.in/diamondview.aspx?cid=preet&amp;d=HN-127-14")</f>
        <v>https://v360.in/diamondview.aspx?cid=preet&amp;d=HN-127-14</v>
      </c>
    </row>
    <row r="329" ht="15.75" spans="1:54">
      <c r="A329" s="2" t="s">
        <v>1099</v>
      </c>
      <c r="B329" s="3" t="s">
        <v>63</v>
      </c>
      <c r="C329" s="2" t="s">
        <v>1087</v>
      </c>
      <c r="D329" s="2">
        <v>1.4</v>
      </c>
      <c r="E329" s="2" t="s">
        <v>65</v>
      </c>
      <c r="F329" s="2" t="s">
        <v>155</v>
      </c>
      <c r="G329" s="2" t="s">
        <v>67</v>
      </c>
      <c r="H329" s="2" t="s">
        <v>68</v>
      </c>
      <c r="I329" s="2" t="s">
        <v>68</v>
      </c>
      <c r="J329" s="2" t="s">
        <v>70</v>
      </c>
      <c r="L329" s="2" t="s">
        <v>1100</v>
      </c>
      <c r="O329" t="s">
        <v>72</v>
      </c>
      <c r="P329" s="2">
        <v>559298598</v>
      </c>
      <c r="R329" s="2">
        <v>5700</v>
      </c>
      <c r="S329" s="4">
        <f t="shared" si="10"/>
        <v>7980</v>
      </c>
      <c r="T329" s="4">
        <v>-97</v>
      </c>
      <c r="U329" s="4">
        <f t="shared" si="11"/>
        <v>239.4</v>
      </c>
      <c r="V329" s="5">
        <v>0.625</v>
      </c>
      <c r="W329" s="2">
        <v>61</v>
      </c>
      <c r="AU329" s="3" t="s">
        <v>73</v>
      </c>
      <c r="AW329" s="2" t="s">
        <v>74</v>
      </c>
      <c r="AZ329" t="s">
        <v>1101</v>
      </c>
      <c r="BB329" s="7" t="str">
        <f>HYPERLINK("https://v360.in/diamondview.aspx?cid=preet&amp;d=HN-129-45","https://v360.in/diamondview.aspx?cid=preet&amp;d=HN-129-45")</f>
        <v>https://v360.in/diamondview.aspx?cid=preet&amp;d=HN-129-45</v>
      </c>
    </row>
    <row r="330" ht="15.75" spans="1:54">
      <c r="A330" s="2" t="s">
        <v>1102</v>
      </c>
      <c r="B330" s="3" t="s">
        <v>63</v>
      </c>
      <c r="C330" s="2" t="s">
        <v>1087</v>
      </c>
      <c r="D330" s="2">
        <v>1.31</v>
      </c>
      <c r="E330" s="2" t="s">
        <v>119</v>
      </c>
      <c r="F330" s="2" t="s">
        <v>66</v>
      </c>
      <c r="G330" s="2" t="s">
        <v>67</v>
      </c>
      <c r="H330" s="2" t="s">
        <v>68</v>
      </c>
      <c r="I330" s="2" t="s">
        <v>68</v>
      </c>
      <c r="J330" s="2" t="s">
        <v>70</v>
      </c>
      <c r="L330" s="2" t="s">
        <v>1103</v>
      </c>
      <c r="O330" t="s">
        <v>72</v>
      </c>
      <c r="P330" s="2">
        <v>561278597</v>
      </c>
      <c r="R330" s="2">
        <v>7200</v>
      </c>
      <c r="S330" s="4">
        <f t="shared" si="10"/>
        <v>9432</v>
      </c>
      <c r="T330" s="4">
        <v>-97</v>
      </c>
      <c r="U330" s="4">
        <f t="shared" si="11"/>
        <v>282.96</v>
      </c>
      <c r="V330" s="5">
        <v>0.629</v>
      </c>
      <c r="W330" s="2">
        <v>61</v>
      </c>
      <c r="AU330" s="3" t="s">
        <v>73</v>
      </c>
      <c r="AW330" s="2" t="s">
        <v>93</v>
      </c>
      <c r="AZ330" t="s">
        <v>1104</v>
      </c>
      <c r="BB330" s="7" t="str">
        <f>HYPERLINK("https://v360.in/diamondview.aspx?cid=preet&amp;d=HN-130-7","https://v360.in/diamondview.aspx?cid=preet&amp;d=HN-130-7")</f>
        <v>https://v360.in/diamondview.aspx?cid=preet&amp;d=HN-130-7</v>
      </c>
    </row>
    <row r="331" ht="15.75" spans="1:54">
      <c r="A331" s="2" t="s">
        <v>1105</v>
      </c>
      <c r="B331" s="3" t="s">
        <v>63</v>
      </c>
      <c r="C331" s="2" t="s">
        <v>1087</v>
      </c>
      <c r="D331" s="2">
        <v>1.3</v>
      </c>
      <c r="E331" s="2" t="s">
        <v>119</v>
      </c>
      <c r="F331" s="2" t="s">
        <v>66</v>
      </c>
      <c r="G331" s="2" t="s">
        <v>67</v>
      </c>
      <c r="H331" s="2" t="s">
        <v>68</v>
      </c>
      <c r="I331" s="2" t="s">
        <v>68</v>
      </c>
      <c r="J331" s="2" t="s">
        <v>70</v>
      </c>
      <c r="L331" s="2" t="s">
        <v>1106</v>
      </c>
      <c r="O331" t="s">
        <v>72</v>
      </c>
      <c r="P331" s="2">
        <v>561278580</v>
      </c>
      <c r="R331" s="2">
        <v>7200</v>
      </c>
      <c r="S331" s="4">
        <f t="shared" si="10"/>
        <v>9360</v>
      </c>
      <c r="T331" s="4">
        <v>-97</v>
      </c>
      <c r="U331" s="4">
        <f t="shared" si="11"/>
        <v>280.8</v>
      </c>
      <c r="V331" s="5">
        <v>0.635</v>
      </c>
      <c r="W331" s="2">
        <v>60</v>
      </c>
      <c r="AU331" s="3" t="s">
        <v>73</v>
      </c>
      <c r="AW331" s="2" t="s">
        <v>93</v>
      </c>
      <c r="AZ331" t="s">
        <v>1107</v>
      </c>
      <c r="BB331" s="7" t="str">
        <f>HYPERLINK("https://v360.in/diamondview.aspx?cid=preet&amp;d=HN-130-23","https://v360.in/diamondview.aspx?cid=preet&amp;d=HN-130-23")</f>
        <v>https://v360.in/diamondview.aspx?cid=preet&amp;d=HN-130-23</v>
      </c>
    </row>
    <row r="332" ht="15.75" spans="1:54">
      <c r="A332" s="2" t="s">
        <v>1108</v>
      </c>
      <c r="B332" s="3" t="s">
        <v>63</v>
      </c>
      <c r="C332" s="2" t="s">
        <v>1087</v>
      </c>
      <c r="D332" s="2">
        <v>1.24</v>
      </c>
      <c r="E332" s="2" t="s">
        <v>63</v>
      </c>
      <c r="F332" s="2" t="s">
        <v>91</v>
      </c>
      <c r="G332" s="2" t="s">
        <v>67</v>
      </c>
      <c r="H332" s="2" t="s">
        <v>68</v>
      </c>
      <c r="I332" s="2" t="s">
        <v>68</v>
      </c>
      <c r="J332" s="2" t="s">
        <v>70</v>
      </c>
      <c r="L332" s="2" t="s">
        <v>1109</v>
      </c>
      <c r="O332" t="s">
        <v>72</v>
      </c>
      <c r="P332" s="2">
        <v>571307681</v>
      </c>
      <c r="R332" s="2">
        <v>7000</v>
      </c>
      <c r="S332" s="4">
        <f t="shared" si="10"/>
        <v>8680</v>
      </c>
      <c r="T332" s="4">
        <v>-97</v>
      </c>
      <c r="U332" s="4">
        <f t="shared" si="11"/>
        <v>260.4</v>
      </c>
      <c r="V332" s="5">
        <v>0.597</v>
      </c>
      <c r="W332" s="5">
        <v>0.605</v>
      </c>
      <c r="AU332" s="3" t="s">
        <v>73</v>
      </c>
      <c r="AW332" s="2" t="s">
        <v>93</v>
      </c>
      <c r="AZ332" t="s">
        <v>1110</v>
      </c>
      <c r="BB332" s="7" t="s">
        <v>1111</v>
      </c>
    </row>
    <row r="333" ht="15.75" spans="1:54">
      <c r="A333" s="2" t="s">
        <v>1112</v>
      </c>
      <c r="B333" s="3" t="s">
        <v>63</v>
      </c>
      <c r="C333" s="2" t="s">
        <v>1087</v>
      </c>
      <c r="D333" s="2">
        <v>1.24</v>
      </c>
      <c r="E333" s="2" t="s">
        <v>81</v>
      </c>
      <c r="F333" s="2" t="s">
        <v>143</v>
      </c>
      <c r="G333" s="2" t="s">
        <v>67</v>
      </c>
      <c r="H333" s="2" t="s">
        <v>68</v>
      </c>
      <c r="I333" s="2" t="s">
        <v>68</v>
      </c>
      <c r="J333" s="2" t="s">
        <v>70</v>
      </c>
      <c r="L333" s="2" t="s">
        <v>1113</v>
      </c>
      <c r="O333" t="s">
        <v>72</v>
      </c>
      <c r="P333" s="2">
        <v>570370835</v>
      </c>
      <c r="R333" s="2">
        <v>6300</v>
      </c>
      <c r="S333" s="4">
        <f t="shared" si="10"/>
        <v>7812</v>
      </c>
      <c r="T333" s="4">
        <v>-97</v>
      </c>
      <c r="U333" s="4">
        <f t="shared" si="11"/>
        <v>234.36</v>
      </c>
      <c r="V333" s="5">
        <v>0.574</v>
      </c>
      <c r="W333" s="2">
        <v>62</v>
      </c>
      <c r="AU333" s="3" t="s">
        <v>73</v>
      </c>
      <c r="AW333" s="2" t="s">
        <v>93</v>
      </c>
      <c r="AZ333" t="s">
        <v>1114</v>
      </c>
      <c r="BB333" s="7" t="str">
        <f>HYPERLINK("https://v360.in/diamondview.aspx?cid=preet&amp;d=HN-147-5","https://v360.in/diamondview.aspx?cid=preet&amp;d=HN-147-5")</f>
        <v>https://v360.in/diamondview.aspx?cid=preet&amp;d=HN-147-5</v>
      </c>
    </row>
    <row r="334" ht="15.75" spans="1:54">
      <c r="A334" s="2" t="s">
        <v>1115</v>
      </c>
      <c r="B334" s="3" t="s">
        <v>63</v>
      </c>
      <c r="C334" s="2" t="s">
        <v>1087</v>
      </c>
      <c r="D334" s="2">
        <v>1.23</v>
      </c>
      <c r="E334" s="2" t="s">
        <v>63</v>
      </c>
      <c r="F334" s="2" t="s">
        <v>91</v>
      </c>
      <c r="G334" s="2" t="s">
        <v>67</v>
      </c>
      <c r="H334" s="2" t="s">
        <v>68</v>
      </c>
      <c r="I334" s="2" t="s">
        <v>69</v>
      </c>
      <c r="J334" s="2" t="s">
        <v>70</v>
      </c>
      <c r="L334" s="2" t="s">
        <v>1116</v>
      </c>
      <c r="O334" t="s">
        <v>72</v>
      </c>
      <c r="P334" s="2">
        <v>570376187</v>
      </c>
      <c r="R334" s="2">
        <v>7000</v>
      </c>
      <c r="S334" s="4">
        <f t="shared" si="10"/>
        <v>8610</v>
      </c>
      <c r="T334" s="4">
        <v>-97</v>
      </c>
      <c r="U334" s="4">
        <f t="shared" si="11"/>
        <v>258.3</v>
      </c>
      <c r="V334" s="6">
        <v>0.59</v>
      </c>
      <c r="W334" s="5">
        <v>0.605</v>
      </c>
      <c r="AU334" s="3" t="s">
        <v>73</v>
      </c>
      <c r="AW334" s="2" t="s">
        <v>93</v>
      </c>
      <c r="AZ334" t="s">
        <v>1117</v>
      </c>
      <c r="BB334" s="7" t="str">
        <f>HYPERLINK("https://v360.in/diamondview.aspx?cid=preet&amp;d=HN-148-26","https://v360.in/diamondview.aspx?cid=preet&amp;d=HN-148-26")</f>
        <v>https://v360.in/diamondview.aspx?cid=preet&amp;d=HN-148-26</v>
      </c>
    </row>
    <row r="335" ht="15.75" spans="1:54">
      <c r="A335" s="2" t="s">
        <v>1118</v>
      </c>
      <c r="B335" s="3" t="s">
        <v>63</v>
      </c>
      <c r="C335" s="2" t="s">
        <v>1087</v>
      </c>
      <c r="D335" s="2">
        <v>1.21</v>
      </c>
      <c r="E335" s="2" t="s">
        <v>63</v>
      </c>
      <c r="F335" s="2" t="s">
        <v>91</v>
      </c>
      <c r="G335" s="2" t="s">
        <v>67</v>
      </c>
      <c r="H335" s="2" t="s">
        <v>68</v>
      </c>
      <c r="I335" s="2" t="s">
        <v>68</v>
      </c>
      <c r="J335" s="2" t="s">
        <v>70</v>
      </c>
      <c r="L335" s="2" t="s">
        <v>1119</v>
      </c>
      <c r="O335" t="s">
        <v>72</v>
      </c>
      <c r="P335" s="2">
        <v>571307680</v>
      </c>
      <c r="R335" s="2">
        <v>7000</v>
      </c>
      <c r="S335" s="4">
        <f t="shared" si="10"/>
        <v>8470</v>
      </c>
      <c r="T335" s="4">
        <v>-97</v>
      </c>
      <c r="U335" s="4">
        <f t="shared" si="11"/>
        <v>254.1</v>
      </c>
      <c r="V335" s="5">
        <v>0.581</v>
      </c>
      <c r="W335" s="5">
        <v>0.715</v>
      </c>
      <c r="AU335" s="3" t="s">
        <v>73</v>
      </c>
      <c r="AW335" s="2" t="s">
        <v>93</v>
      </c>
      <c r="AZ335" t="s">
        <v>1120</v>
      </c>
      <c r="BB335" s="7" t="s">
        <v>1121</v>
      </c>
    </row>
    <row r="336" ht="15.75" spans="1:54">
      <c r="A336" s="2" t="s">
        <v>1122</v>
      </c>
      <c r="B336" s="3" t="s">
        <v>63</v>
      </c>
      <c r="C336" s="2" t="s">
        <v>1087</v>
      </c>
      <c r="D336" s="2">
        <v>1.19</v>
      </c>
      <c r="E336" s="2" t="s">
        <v>63</v>
      </c>
      <c r="F336" s="2" t="s">
        <v>143</v>
      </c>
      <c r="G336" s="2" t="s">
        <v>67</v>
      </c>
      <c r="H336" s="2" t="s">
        <v>68</v>
      </c>
      <c r="I336" s="2" t="s">
        <v>68</v>
      </c>
      <c r="J336" s="2" t="s">
        <v>70</v>
      </c>
      <c r="L336" s="2" t="s">
        <v>1123</v>
      </c>
      <c r="O336" t="s">
        <v>72</v>
      </c>
      <c r="P336" s="2">
        <v>551214609</v>
      </c>
      <c r="R336" s="2">
        <v>7300</v>
      </c>
      <c r="S336" s="4">
        <f t="shared" si="10"/>
        <v>8687</v>
      </c>
      <c r="T336" s="4">
        <v>-97</v>
      </c>
      <c r="U336" s="4">
        <f t="shared" si="11"/>
        <v>260.61</v>
      </c>
      <c r="V336" s="5">
        <v>0.632</v>
      </c>
      <c r="W336" s="6">
        <v>0.59</v>
      </c>
      <c r="AU336" s="3" t="s">
        <v>73</v>
      </c>
      <c r="AW336" s="2" t="s">
        <v>74</v>
      </c>
      <c r="AZ336" t="s">
        <v>1124</v>
      </c>
      <c r="BB336" s="7" t="str">
        <f>HYPERLINK("https://v360.in/diamondview.aspx?cid=preet&amp;d=HN-127-50","https://v360.in/diamondview.aspx?cid=preet&amp;d=HN-127-50")</f>
        <v>https://v360.in/diamondview.aspx?cid=preet&amp;d=HN-127-50</v>
      </c>
    </row>
    <row r="337" ht="15.75" spans="1:54">
      <c r="A337" s="2" t="s">
        <v>1125</v>
      </c>
      <c r="B337" s="3" t="s">
        <v>63</v>
      </c>
      <c r="C337" s="2" t="s">
        <v>1087</v>
      </c>
      <c r="D337" s="2">
        <v>1.16</v>
      </c>
      <c r="E337" s="2" t="s">
        <v>65</v>
      </c>
      <c r="F337" s="2" t="s">
        <v>66</v>
      </c>
      <c r="G337" s="2" t="s">
        <v>67</v>
      </c>
      <c r="H337" s="2" t="s">
        <v>68</v>
      </c>
      <c r="I337" s="2" t="s">
        <v>68</v>
      </c>
      <c r="J337" s="2" t="s">
        <v>70</v>
      </c>
      <c r="L337" s="2" t="s">
        <v>1126</v>
      </c>
      <c r="O337" t="s">
        <v>72</v>
      </c>
      <c r="P337" s="2">
        <v>570376186</v>
      </c>
      <c r="R337" s="2">
        <v>6900</v>
      </c>
      <c r="S337" s="4">
        <f t="shared" si="10"/>
        <v>8004</v>
      </c>
      <c r="T337" s="4">
        <v>-97</v>
      </c>
      <c r="U337" s="4">
        <f t="shared" si="11"/>
        <v>240.12</v>
      </c>
      <c r="V337" s="5">
        <v>0.583</v>
      </c>
      <c r="W337" s="5">
        <v>0.625</v>
      </c>
      <c r="AU337" s="3" t="s">
        <v>73</v>
      </c>
      <c r="AW337" s="2" t="s">
        <v>93</v>
      </c>
      <c r="AZ337" t="s">
        <v>1127</v>
      </c>
      <c r="BB337" s="7" t="str">
        <f>HYPERLINK("https://v360.in/diamondview.aspx?cid=preet&amp;d=HN-148-28","https://v360.in/diamondview.aspx?cid=preet&amp;d=HN-148-28")</f>
        <v>https://v360.in/diamondview.aspx?cid=preet&amp;d=HN-148-28</v>
      </c>
    </row>
    <row r="338" ht="15.75" spans="1:54">
      <c r="A338" s="2" t="s">
        <v>1128</v>
      </c>
      <c r="B338" s="3" t="s">
        <v>63</v>
      </c>
      <c r="C338" s="2" t="s">
        <v>1087</v>
      </c>
      <c r="D338" s="2">
        <v>1.14</v>
      </c>
      <c r="E338" s="2" t="s">
        <v>65</v>
      </c>
      <c r="F338" s="2" t="s">
        <v>91</v>
      </c>
      <c r="G338" s="2" t="s">
        <v>67</v>
      </c>
      <c r="H338" s="2" t="s">
        <v>68</v>
      </c>
      <c r="I338" s="2" t="s">
        <v>68</v>
      </c>
      <c r="J338" s="2" t="s">
        <v>70</v>
      </c>
      <c r="L338" s="2" t="s">
        <v>1129</v>
      </c>
      <c r="O338" t="s">
        <v>72</v>
      </c>
      <c r="P338" s="2">
        <v>571307679</v>
      </c>
      <c r="R338" s="2">
        <v>7500</v>
      </c>
      <c r="S338" s="4">
        <f t="shared" si="10"/>
        <v>8550</v>
      </c>
      <c r="T338" s="4">
        <v>-97</v>
      </c>
      <c r="U338" s="4">
        <f t="shared" si="11"/>
        <v>256.5</v>
      </c>
      <c r="V338" s="5">
        <v>0.619</v>
      </c>
      <c r="W338" s="5">
        <v>0.575</v>
      </c>
      <c r="AU338" s="3" t="s">
        <v>73</v>
      </c>
      <c r="AW338" s="2" t="s">
        <v>93</v>
      </c>
      <c r="AZ338" t="s">
        <v>1130</v>
      </c>
      <c r="BB338" s="7" t="s">
        <v>1131</v>
      </c>
    </row>
    <row r="339" ht="15.75" spans="1:54">
      <c r="A339" s="2" t="s">
        <v>1132</v>
      </c>
      <c r="B339" s="3" t="s">
        <v>63</v>
      </c>
      <c r="C339" s="2" t="s">
        <v>1087</v>
      </c>
      <c r="D339" s="2">
        <v>1.06</v>
      </c>
      <c r="E339" s="2" t="s">
        <v>63</v>
      </c>
      <c r="F339" s="2" t="s">
        <v>91</v>
      </c>
      <c r="G339" s="2" t="s">
        <v>67</v>
      </c>
      <c r="H339" s="2" t="s">
        <v>68</v>
      </c>
      <c r="I339" s="2" t="s">
        <v>68</v>
      </c>
      <c r="J339" s="2" t="s">
        <v>70</v>
      </c>
      <c r="L339" s="2" t="s">
        <v>1133</v>
      </c>
      <c r="O339" t="s">
        <v>72</v>
      </c>
      <c r="P339" s="2">
        <v>571307678</v>
      </c>
      <c r="R339" s="2">
        <v>7000</v>
      </c>
      <c r="S339" s="4">
        <f t="shared" si="10"/>
        <v>7420</v>
      </c>
      <c r="T339" s="4">
        <v>-97</v>
      </c>
      <c r="U339" s="4">
        <f t="shared" si="11"/>
        <v>222.6</v>
      </c>
      <c r="V339" s="5">
        <v>0.589</v>
      </c>
      <c r="W339" s="5">
        <v>0.595</v>
      </c>
      <c r="AU339" s="3" t="s">
        <v>73</v>
      </c>
      <c r="AW339" s="2" t="s">
        <v>93</v>
      </c>
      <c r="AZ339" t="s">
        <v>1134</v>
      </c>
      <c r="BB339" s="7" t="s">
        <v>1135</v>
      </c>
    </row>
    <row r="340" ht="15.75" spans="1:54">
      <c r="A340" s="2" t="s">
        <v>1136</v>
      </c>
      <c r="B340" s="3" t="s">
        <v>63</v>
      </c>
      <c r="C340" s="2" t="s">
        <v>1087</v>
      </c>
      <c r="D340" s="2">
        <v>1.04</v>
      </c>
      <c r="E340" s="2" t="s">
        <v>63</v>
      </c>
      <c r="F340" s="2" t="s">
        <v>91</v>
      </c>
      <c r="G340" s="2" t="s">
        <v>67</v>
      </c>
      <c r="H340" s="2" t="s">
        <v>68</v>
      </c>
      <c r="I340" s="2" t="s">
        <v>68</v>
      </c>
      <c r="J340" s="2" t="s">
        <v>70</v>
      </c>
      <c r="L340" s="2" t="s">
        <v>1137</v>
      </c>
      <c r="O340" t="s">
        <v>72</v>
      </c>
      <c r="P340" s="2">
        <v>570376185</v>
      </c>
      <c r="R340" s="2">
        <v>7000</v>
      </c>
      <c r="S340" s="4">
        <f t="shared" si="10"/>
        <v>7280</v>
      </c>
      <c r="T340" s="4">
        <v>-97</v>
      </c>
      <c r="U340" s="4">
        <f t="shared" si="11"/>
        <v>218.4</v>
      </c>
      <c r="V340" s="5">
        <v>0.596</v>
      </c>
      <c r="W340" s="6">
        <v>0.58</v>
      </c>
      <c r="AU340" s="3" t="s">
        <v>73</v>
      </c>
      <c r="AW340" s="2" t="s">
        <v>93</v>
      </c>
      <c r="AZ340" t="s">
        <v>1138</v>
      </c>
      <c r="BB340" s="7" t="str">
        <f>HYPERLINK("https://v360.in/diamondview.aspx?cid=preet&amp;d=HN-148-27","https://v360.in/diamondview.aspx?cid=preet&amp;d=HN-148-27")</f>
        <v>https://v360.in/diamondview.aspx?cid=preet&amp;d=HN-148-27</v>
      </c>
    </row>
    <row r="341" ht="15.75" spans="1:54">
      <c r="A341" s="2" t="s">
        <v>1139</v>
      </c>
      <c r="B341" s="3" t="s">
        <v>63</v>
      </c>
      <c r="C341" s="2" t="s">
        <v>1087</v>
      </c>
      <c r="D341" s="2">
        <v>1.01</v>
      </c>
      <c r="E341" s="2" t="s">
        <v>63</v>
      </c>
      <c r="F341" s="2" t="s">
        <v>66</v>
      </c>
      <c r="G341" s="2" t="s">
        <v>67</v>
      </c>
      <c r="H341" s="2" t="s">
        <v>68</v>
      </c>
      <c r="I341" s="2" t="s">
        <v>68</v>
      </c>
      <c r="J341" s="2" t="s">
        <v>70</v>
      </c>
      <c r="L341" s="2" t="s">
        <v>1140</v>
      </c>
      <c r="O341" t="s">
        <v>72</v>
      </c>
      <c r="P341" s="2">
        <v>571301025</v>
      </c>
      <c r="R341" s="2">
        <v>6600</v>
      </c>
      <c r="S341" s="4">
        <f t="shared" si="10"/>
        <v>6666</v>
      </c>
      <c r="T341" s="4">
        <v>-97</v>
      </c>
      <c r="U341" s="4">
        <f t="shared" si="11"/>
        <v>199.98</v>
      </c>
      <c r="V341" s="5">
        <v>0.629</v>
      </c>
      <c r="W341" s="6">
        <v>0.59</v>
      </c>
      <c r="AU341" s="3" t="s">
        <v>73</v>
      </c>
      <c r="AW341" s="2" t="s">
        <v>93</v>
      </c>
      <c r="AZ341" t="s">
        <v>1141</v>
      </c>
      <c r="BB341" s="7" t="str">
        <f>HYPERLINK("https://v360.in/diamondview.aspx?cid=preet&amp;d=HN-141-28","https://v360.in/diamondview.aspx?cid=preet&amp;d=HN-141-28")</f>
        <v>https://v360.in/diamondview.aspx?cid=preet&amp;d=HN-141-28</v>
      </c>
    </row>
    <row r="342" ht="15.75" spans="1:54">
      <c r="A342" s="2" t="s">
        <v>1142</v>
      </c>
      <c r="B342" s="3" t="s">
        <v>63</v>
      </c>
      <c r="C342" s="2" t="s">
        <v>1087</v>
      </c>
      <c r="D342" s="2">
        <v>1</v>
      </c>
      <c r="E342" s="2" t="s">
        <v>119</v>
      </c>
      <c r="F342" s="2" t="s">
        <v>91</v>
      </c>
      <c r="G342" s="2" t="s">
        <v>67</v>
      </c>
      <c r="H342" s="2" t="s">
        <v>68</v>
      </c>
      <c r="I342" s="2" t="s">
        <v>68</v>
      </c>
      <c r="J342" s="2" t="s">
        <v>70</v>
      </c>
      <c r="L342" s="2" t="s">
        <v>1143</v>
      </c>
      <c r="O342" t="s">
        <v>72</v>
      </c>
      <c r="P342" s="2">
        <v>551291808</v>
      </c>
      <c r="R342" s="2">
        <v>8000</v>
      </c>
      <c r="S342" s="4">
        <f t="shared" si="10"/>
        <v>8000</v>
      </c>
      <c r="T342" s="4">
        <v>-97</v>
      </c>
      <c r="U342" s="4">
        <f t="shared" si="11"/>
        <v>240</v>
      </c>
      <c r="V342" s="5">
        <v>0.614</v>
      </c>
      <c r="W342" s="6">
        <v>0.62</v>
      </c>
      <c r="AU342" s="3" t="s">
        <v>73</v>
      </c>
      <c r="AW342" s="2" t="s">
        <v>74</v>
      </c>
      <c r="AZ342" t="s">
        <v>1144</v>
      </c>
      <c r="BB342" s="7" t="str">
        <f>HYPERLINK("https://v360.in/diamondview.aspx?cid=preet&amp;d=HN-112-9","https://v360.in/diamondview.aspx?cid=preet&amp;d=HN-112-9")</f>
        <v>https://v360.in/diamondview.aspx?cid=preet&amp;d=HN-112-9</v>
      </c>
    </row>
    <row r="343" ht="15.75" spans="1:54">
      <c r="A343" s="2" t="s">
        <v>1145</v>
      </c>
      <c r="B343" s="3" t="s">
        <v>63</v>
      </c>
      <c r="C343" s="2" t="s">
        <v>1087</v>
      </c>
      <c r="D343" s="2">
        <v>1</v>
      </c>
      <c r="E343" s="2" t="s">
        <v>65</v>
      </c>
      <c r="F343" s="2" t="s">
        <v>66</v>
      </c>
      <c r="G343" s="2" t="s">
        <v>67</v>
      </c>
      <c r="H343" s="2" t="s">
        <v>68</v>
      </c>
      <c r="I343" s="2" t="s">
        <v>69</v>
      </c>
      <c r="J343" s="2" t="s">
        <v>70</v>
      </c>
      <c r="L343" s="2" t="s">
        <v>1146</v>
      </c>
      <c r="O343" t="s">
        <v>72</v>
      </c>
      <c r="P343" s="2">
        <v>569328550</v>
      </c>
      <c r="R343" s="2">
        <v>6900</v>
      </c>
      <c r="S343" s="4">
        <f t="shared" si="10"/>
        <v>6900</v>
      </c>
      <c r="T343" s="4">
        <v>-97</v>
      </c>
      <c r="U343" s="4">
        <f t="shared" si="11"/>
        <v>207</v>
      </c>
      <c r="V343" s="5">
        <v>0.619</v>
      </c>
      <c r="W343" s="5">
        <v>0.555</v>
      </c>
      <c r="AU343" s="3" t="s">
        <v>73</v>
      </c>
      <c r="AW343" s="2" t="s">
        <v>93</v>
      </c>
      <c r="AZ343" t="s">
        <v>1147</v>
      </c>
      <c r="BB343" s="7" t="str">
        <f>HYPERLINK("https://v360.in/diamondview.aspx?cid=preet&amp;d=HN-137-26","https://v360.in/diamondview.aspx?cid=preet&amp;d=HN-137-26")</f>
        <v>https://v360.in/diamondview.aspx?cid=preet&amp;d=HN-137-26</v>
      </c>
    </row>
    <row r="344" ht="15.75" spans="1:54">
      <c r="A344" s="2" t="s">
        <v>1148</v>
      </c>
      <c r="B344" s="3" t="s">
        <v>63</v>
      </c>
      <c r="C344" s="2" t="s">
        <v>1087</v>
      </c>
      <c r="D344" s="2">
        <v>1</v>
      </c>
      <c r="E344" s="2" t="s">
        <v>65</v>
      </c>
      <c r="F344" s="2" t="s">
        <v>91</v>
      </c>
      <c r="G344" s="2" t="s">
        <v>67</v>
      </c>
      <c r="H344" s="2" t="s">
        <v>68</v>
      </c>
      <c r="I344" s="2" t="s">
        <v>68</v>
      </c>
      <c r="J344" s="2" t="s">
        <v>70</v>
      </c>
      <c r="L344" s="2" t="s">
        <v>1149</v>
      </c>
      <c r="O344" t="s">
        <v>72</v>
      </c>
      <c r="P344" s="2">
        <v>566393792</v>
      </c>
      <c r="R344" s="2">
        <v>7500</v>
      </c>
      <c r="S344" s="4">
        <f t="shared" si="10"/>
        <v>7500</v>
      </c>
      <c r="T344" s="4">
        <v>-97</v>
      </c>
      <c r="U344" s="4">
        <f t="shared" si="11"/>
        <v>225</v>
      </c>
      <c r="V344" s="5">
        <v>0.587</v>
      </c>
      <c r="W344" s="6">
        <v>0.56</v>
      </c>
      <c r="AU344" s="3" t="s">
        <v>73</v>
      </c>
      <c r="AW344" s="2" t="s">
        <v>93</v>
      </c>
      <c r="AZ344" t="s">
        <v>1150</v>
      </c>
      <c r="BB344" s="7" t="str">
        <f>HYPERLINK("https://v360.in/diamondview.aspx?cid=preet&amp;d=HN-135-37","https://v360.in/diamondview.aspx?cid=preet&amp;d=HN-135-37")</f>
        <v>https://v360.in/diamondview.aspx?cid=preet&amp;d=HN-135-37</v>
      </c>
    </row>
    <row r="345" ht="15.75" spans="1:54">
      <c r="A345" s="2" t="s">
        <v>1151</v>
      </c>
      <c r="B345" s="3" t="s">
        <v>63</v>
      </c>
      <c r="C345" s="2" t="s">
        <v>1152</v>
      </c>
      <c r="D345" s="2">
        <v>3.05</v>
      </c>
      <c r="E345" s="2" t="s">
        <v>63</v>
      </c>
      <c r="F345" s="2" t="s">
        <v>66</v>
      </c>
      <c r="G345" s="2" t="s">
        <v>67</v>
      </c>
      <c r="H345" s="2" t="s">
        <v>68</v>
      </c>
      <c r="I345" s="2" t="s">
        <v>68</v>
      </c>
      <c r="J345" s="2" t="s">
        <v>70</v>
      </c>
      <c r="L345" s="2" t="s">
        <v>1153</v>
      </c>
      <c r="O345" t="s">
        <v>72</v>
      </c>
      <c r="P345" s="2">
        <v>561259441</v>
      </c>
      <c r="R345" s="2">
        <v>20500</v>
      </c>
      <c r="S345" s="4">
        <f t="shared" si="10"/>
        <v>62525</v>
      </c>
      <c r="T345" s="4">
        <v>-97</v>
      </c>
      <c r="U345" s="4">
        <f t="shared" si="11"/>
        <v>1875.75</v>
      </c>
      <c r="V345" s="5">
        <v>0.678</v>
      </c>
      <c r="W345" s="5">
        <v>0.695</v>
      </c>
      <c r="AU345" s="3" t="s">
        <v>73</v>
      </c>
      <c r="AW345" s="2" t="s">
        <v>93</v>
      </c>
      <c r="AZ345" t="s">
        <v>1154</v>
      </c>
      <c r="BB345" s="7" t="str">
        <f>HYPERLINK("https://v360.in/diamondview.aspx?cid=preet&amp;d=HN-130-31","https://v360.in/diamondview.aspx?cid=preet&amp;d=HN-130-31")</f>
        <v>https://v360.in/diamondview.aspx?cid=preet&amp;d=HN-130-31</v>
      </c>
    </row>
    <row r="346" ht="15.75" spans="1:54">
      <c r="A346" s="2" t="s">
        <v>1155</v>
      </c>
      <c r="B346" s="3" t="s">
        <v>63</v>
      </c>
      <c r="C346" s="2" t="s">
        <v>1152</v>
      </c>
      <c r="D346" s="2">
        <v>3.03</v>
      </c>
      <c r="E346" s="2" t="s">
        <v>63</v>
      </c>
      <c r="F346" s="2" t="s">
        <v>66</v>
      </c>
      <c r="G346" s="2" t="s">
        <v>67</v>
      </c>
      <c r="H346" s="2" t="s">
        <v>68</v>
      </c>
      <c r="I346" s="2" t="s">
        <v>68</v>
      </c>
      <c r="J346" s="2" t="s">
        <v>70</v>
      </c>
      <c r="L346" s="2" t="s">
        <v>1156</v>
      </c>
      <c r="O346" t="s">
        <v>72</v>
      </c>
      <c r="P346" s="2">
        <v>553259920</v>
      </c>
      <c r="R346" s="2">
        <v>20500</v>
      </c>
      <c r="S346" s="4">
        <f t="shared" si="10"/>
        <v>62115</v>
      </c>
      <c r="T346" s="4">
        <v>-97</v>
      </c>
      <c r="U346" s="4">
        <f t="shared" si="11"/>
        <v>1863.45</v>
      </c>
      <c r="V346" s="5">
        <v>0.662</v>
      </c>
      <c r="W346" s="6">
        <v>0.63</v>
      </c>
      <c r="AU346" s="3" t="s">
        <v>73</v>
      </c>
      <c r="AW346" s="2" t="s">
        <v>74</v>
      </c>
      <c r="AZ346" t="s">
        <v>1157</v>
      </c>
      <c r="BB346" s="7" t="str">
        <f>HYPERLINK("https://v360.in/diamondview.aspx?cid=preet&amp;d=HN-128-01","https://v360.in/diamondview.aspx?cid=preet&amp;d=HN-128-01")</f>
        <v>https://v360.in/diamondview.aspx?cid=preet&amp;d=HN-128-01</v>
      </c>
    </row>
    <row r="347" ht="15.75" spans="1:54">
      <c r="A347" s="2" t="s">
        <v>1158</v>
      </c>
      <c r="B347" s="3" t="s">
        <v>63</v>
      </c>
      <c r="C347" s="2" t="s">
        <v>1152</v>
      </c>
      <c r="D347" s="2">
        <v>3.02</v>
      </c>
      <c r="E347" s="2" t="s">
        <v>558</v>
      </c>
      <c r="F347" s="2" t="s">
        <v>91</v>
      </c>
      <c r="G347" s="2" t="s">
        <v>67</v>
      </c>
      <c r="H347" s="2" t="s">
        <v>68</v>
      </c>
      <c r="I347" s="2" t="s">
        <v>68</v>
      </c>
      <c r="J347" s="2" t="s">
        <v>70</v>
      </c>
      <c r="L347" s="2" t="s">
        <v>1159</v>
      </c>
      <c r="O347" t="s">
        <v>72</v>
      </c>
      <c r="P347" s="2">
        <v>522254001</v>
      </c>
      <c r="R347" s="2">
        <v>17000</v>
      </c>
      <c r="S347" s="4">
        <f t="shared" si="10"/>
        <v>51340</v>
      </c>
      <c r="T347" s="4">
        <v>-97</v>
      </c>
      <c r="U347" s="4">
        <f t="shared" si="11"/>
        <v>1540.2</v>
      </c>
      <c r="V347" s="5">
        <v>0.696</v>
      </c>
      <c r="W347" s="6">
        <v>0.66</v>
      </c>
      <c r="AU347" s="3" t="s">
        <v>73</v>
      </c>
      <c r="AW347" s="2" t="s">
        <v>74</v>
      </c>
      <c r="AZ347" t="s">
        <v>1160</v>
      </c>
      <c r="BB347" s="7" t="str">
        <f>HYPERLINK("","")</f>
        <v/>
      </c>
    </row>
    <row r="348" ht="15.75" spans="1:54">
      <c r="A348" s="2" t="s">
        <v>1161</v>
      </c>
      <c r="B348" s="3" t="s">
        <v>63</v>
      </c>
      <c r="C348" s="2" t="s">
        <v>1152</v>
      </c>
      <c r="D348" s="2">
        <v>3.01</v>
      </c>
      <c r="E348" s="2" t="s">
        <v>63</v>
      </c>
      <c r="F348" s="2" t="s">
        <v>91</v>
      </c>
      <c r="G348" s="2" t="s">
        <v>67</v>
      </c>
      <c r="H348" s="2" t="s">
        <v>68</v>
      </c>
      <c r="I348" s="2" t="s">
        <v>68</v>
      </c>
      <c r="J348" s="2" t="s">
        <v>70</v>
      </c>
      <c r="L348" s="2" t="s">
        <v>1162</v>
      </c>
      <c r="O348" t="s">
        <v>72</v>
      </c>
      <c r="P348" s="2">
        <v>570376254</v>
      </c>
      <c r="R348" s="2">
        <v>22500</v>
      </c>
      <c r="S348" s="4">
        <f t="shared" si="10"/>
        <v>67725</v>
      </c>
      <c r="T348" s="4">
        <v>-97</v>
      </c>
      <c r="U348" s="4">
        <f t="shared" si="11"/>
        <v>2031.75</v>
      </c>
      <c r="V348" s="5">
        <v>0.658</v>
      </c>
      <c r="W348" s="5">
        <v>0.725</v>
      </c>
      <c r="AU348" s="3" t="s">
        <v>73</v>
      </c>
      <c r="AW348" s="2" t="s">
        <v>93</v>
      </c>
      <c r="AZ348" t="s">
        <v>1163</v>
      </c>
      <c r="BB348" s="7" t="str">
        <f>HYPERLINK("https://v360.in/diamondview.aspx?cid=preet&amp;d=HN-142-25","https://v360.in/diamondview.aspx?cid=preet&amp;d=HN-142-25")</f>
        <v>https://v360.in/diamondview.aspx?cid=preet&amp;d=HN-142-25</v>
      </c>
    </row>
    <row r="349" ht="15.75" spans="1:54">
      <c r="A349" s="2" t="s">
        <v>1164</v>
      </c>
      <c r="B349" s="3" t="s">
        <v>63</v>
      </c>
      <c r="C349" s="2" t="s">
        <v>1152</v>
      </c>
      <c r="D349" s="2">
        <v>3</v>
      </c>
      <c r="E349" s="2" t="s">
        <v>81</v>
      </c>
      <c r="F349" s="2" t="s">
        <v>66</v>
      </c>
      <c r="G349" s="2" t="s">
        <v>67</v>
      </c>
      <c r="H349" s="2" t="s">
        <v>68</v>
      </c>
      <c r="I349" s="2" t="s">
        <v>69</v>
      </c>
      <c r="J349" s="2" t="s">
        <v>70</v>
      </c>
      <c r="L349" s="2" t="s">
        <v>1165</v>
      </c>
      <c r="O349" t="s">
        <v>72</v>
      </c>
      <c r="P349" s="2">
        <v>571301886</v>
      </c>
      <c r="R349" s="2">
        <v>18000</v>
      </c>
      <c r="S349" s="4">
        <f t="shared" si="10"/>
        <v>54000</v>
      </c>
      <c r="T349" s="4">
        <v>-97</v>
      </c>
      <c r="U349" s="4">
        <f t="shared" si="11"/>
        <v>1620</v>
      </c>
      <c r="V349" s="5">
        <v>0.713</v>
      </c>
      <c r="W349" s="6">
        <v>0.68</v>
      </c>
      <c r="AU349" s="3" t="s">
        <v>73</v>
      </c>
      <c r="AW349" s="2" t="s">
        <v>93</v>
      </c>
      <c r="AZ349" t="s">
        <v>1166</v>
      </c>
      <c r="BB349" s="7" t="s">
        <v>1167</v>
      </c>
    </row>
    <row r="350" ht="15.75" spans="1:54">
      <c r="A350" s="2" t="s">
        <v>1168</v>
      </c>
      <c r="B350" s="3" t="s">
        <v>63</v>
      </c>
      <c r="C350" s="2" t="s">
        <v>1152</v>
      </c>
      <c r="D350" s="2">
        <v>2.9</v>
      </c>
      <c r="E350" s="2" t="s">
        <v>63</v>
      </c>
      <c r="F350" s="2" t="s">
        <v>143</v>
      </c>
      <c r="G350" s="2" t="s">
        <v>67</v>
      </c>
      <c r="H350" s="2" t="s">
        <v>68</v>
      </c>
      <c r="I350" s="2" t="s">
        <v>68</v>
      </c>
      <c r="J350" s="2" t="s">
        <v>70</v>
      </c>
      <c r="L350" s="2" t="s">
        <v>1169</v>
      </c>
      <c r="O350" t="s">
        <v>72</v>
      </c>
      <c r="P350" s="2">
        <v>523275959</v>
      </c>
      <c r="R350" s="2">
        <v>16500</v>
      </c>
      <c r="S350" s="4">
        <f t="shared" si="10"/>
        <v>47850</v>
      </c>
      <c r="T350" s="4">
        <v>-97</v>
      </c>
      <c r="U350" s="4">
        <f t="shared" si="11"/>
        <v>1435.5</v>
      </c>
      <c r="V350" s="5">
        <v>0.709</v>
      </c>
      <c r="W350" s="6">
        <v>0.61</v>
      </c>
      <c r="AU350" s="3" t="s">
        <v>73</v>
      </c>
      <c r="AW350" s="2" t="s">
        <v>74</v>
      </c>
      <c r="AZ350" t="s">
        <v>1170</v>
      </c>
      <c r="BB350" s="7" t="str">
        <f>HYPERLINK("","")</f>
        <v/>
      </c>
    </row>
    <row r="351" ht="15.75" spans="1:54">
      <c r="A351" s="2" t="s">
        <v>1171</v>
      </c>
      <c r="B351" s="3" t="s">
        <v>63</v>
      </c>
      <c r="C351" s="2" t="s">
        <v>1152</v>
      </c>
      <c r="D351" s="2">
        <v>2.59</v>
      </c>
      <c r="E351" s="2" t="s">
        <v>119</v>
      </c>
      <c r="F351" s="2" t="s">
        <v>155</v>
      </c>
      <c r="G351" s="2" t="s">
        <v>67</v>
      </c>
      <c r="H351" s="2" t="s">
        <v>68</v>
      </c>
      <c r="I351" s="2" t="s">
        <v>68</v>
      </c>
      <c r="J351" s="2" t="s">
        <v>70</v>
      </c>
      <c r="L351" s="2" t="s">
        <v>1172</v>
      </c>
      <c r="O351" t="s">
        <v>72</v>
      </c>
      <c r="P351" s="2">
        <v>559298591</v>
      </c>
      <c r="R351" s="2">
        <v>14100</v>
      </c>
      <c r="S351" s="4">
        <f t="shared" si="10"/>
        <v>36519</v>
      </c>
      <c r="T351" s="4">
        <v>-97</v>
      </c>
      <c r="U351" s="4">
        <f t="shared" si="11"/>
        <v>1095.57</v>
      </c>
      <c r="V351" s="5">
        <v>0.674</v>
      </c>
      <c r="W351" s="2">
        <v>67</v>
      </c>
      <c r="AU351" s="3" t="s">
        <v>73</v>
      </c>
      <c r="AW351" s="2" t="s">
        <v>74</v>
      </c>
      <c r="AZ351" t="s">
        <v>1173</v>
      </c>
      <c r="BB351" s="7" t="str">
        <f>HYPERLINK("https://v360.in/diamondview.aspx?cid=preet&amp;d=HN-130-2","https://v360.in/diamondview.aspx?cid=preet&amp;d=HN-130-2")</f>
        <v>https://v360.in/diamondview.aspx?cid=preet&amp;d=HN-130-2</v>
      </c>
    </row>
    <row r="352" ht="15.75" spans="1:54">
      <c r="A352" s="2" t="s">
        <v>1174</v>
      </c>
      <c r="B352" s="3" t="s">
        <v>63</v>
      </c>
      <c r="C352" s="2" t="s">
        <v>1152</v>
      </c>
      <c r="D352" s="2">
        <v>2.55</v>
      </c>
      <c r="E352" s="2" t="s">
        <v>119</v>
      </c>
      <c r="F352" s="2" t="s">
        <v>66</v>
      </c>
      <c r="G352" s="2" t="s">
        <v>67</v>
      </c>
      <c r="H352" s="2" t="s">
        <v>68</v>
      </c>
      <c r="I352" s="2" t="s">
        <v>68</v>
      </c>
      <c r="J352" s="2" t="s">
        <v>70</v>
      </c>
      <c r="L352" s="2" t="s">
        <v>1175</v>
      </c>
      <c r="O352" t="s">
        <v>72</v>
      </c>
      <c r="P352" s="2">
        <v>560231271</v>
      </c>
      <c r="R352" s="2">
        <v>16500</v>
      </c>
      <c r="S352" s="4">
        <f t="shared" si="10"/>
        <v>42075</v>
      </c>
      <c r="T352" s="4">
        <v>-97</v>
      </c>
      <c r="U352" s="4">
        <f t="shared" si="11"/>
        <v>1262.25</v>
      </c>
      <c r="V352" s="5">
        <v>0.666</v>
      </c>
      <c r="W352" s="2">
        <v>64</v>
      </c>
      <c r="AU352" s="3" t="s">
        <v>73</v>
      </c>
      <c r="AW352" s="2" t="s">
        <v>74</v>
      </c>
      <c r="AZ352" t="s">
        <v>1176</v>
      </c>
      <c r="BB352" s="7" t="str">
        <f>HYPERLINK("https://v360.in/diamondview.aspx?cid=preet&amp;d=HN-130-12","https://v360.in/diamondview.aspx?cid=preet&amp;d=HN-130-12")</f>
        <v>https://v360.in/diamondview.aspx?cid=preet&amp;d=HN-130-12</v>
      </c>
    </row>
    <row r="353" ht="15.75" spans="1:54">
      <c r="A353" s="2" t="s">
        <v>1177</v>
      </c>
      <c r="B353" s="3" t="s">
        <v>63</v>
      </c>
      <c r="C353" s="2" t="s">
        <v>1152</v>
      </c>
      <c r="D353" s="2">
        <v>2.55</v>
      </c>
      <c r="E353" s="2" t="s">
        <v>81</v>
      </c>
      <c r="F353" s="2" t="s">
        <v>66</v>
      </c>
      <c r="G353" s="2" t="s">
        <v>67</v>
      </c>
      <c r="H353" s="2" t="s">
        <v>68</v>
      </c>
      <c r="I353" s="2" t="s">
        <v>68</v>
      </c>
      <c r="J353" s="2" t="s">
        <v>70</v>
      </c>
      <c r="L353" s="2" t="s">
        <v>1178</v>
      </c>
      <c r="O353" t="s">
        <v>72</v>
      </c>
      <c r="P353" s="2">
        <v>522253996</v>
      </c>
      <c r="R353" s="2">
        <v>12000</v>
      </c>
      <c r="S353" s="4">
        <f t="shared" si="10"/>
        <v>30600</v>
      </c>
      <c r="T353" s="4">
        <v>-97</v>
      </c>
      <c r="U353" s="4">
        <f t="shared" si="11"/>
        <v>918</v>
      </c>
      <c r="V353" s="6">
        <v>0.7</v>
      </c>
      <c r="W353" s="6">
        <v>0.67</v>
      </c>
      <c r="AU353" s="3" t="s">
        <v>73</v>
      </c>
      <c r="AW353" s="2" t="s">
        <v>74</v>
      </c>
      <c r="AZ353" t="s">
        <v>1179</v>
      </c>
      <c r="BB353" s="7" t="str">
        <f>HYPERLINK("https://view.gem360.in/gem360/1504220508-HN52-46/gem360-1504220508-HN52-46.html","https://view.gem360.in/gem360/1504220508-HN52-46/gem360-1504220508-HN52-46.html")</f>
        <v>https://view.gem360.in/gem360/1504220508-HN52-46/gem360-1504220508-HN52-46.html</v>
      </c>
    </row>
    <row r="354" ht="15.75" spans="1:54">
      <c r="A354" s="2" t="s">
        <v>1180</v>
      </c>
      <c r="B354" s="3" t="s">
        <v>63</v>
      </c>
      <c r="C354" s="2" t="s">
        <v>1152</v>
      </c>
      <c r="D354" s="2">
        <v>2.52</v>
      </c>
      <c r="E354" s="2" t="s">
        <v>65</v>
      </c>
      <c r="F354" s="2" t="s">
        <v>155</v>
      </c>
      <c r="G354" s="2" t="s">
        <v>67</v>
      </c>
      <c r="H354" s="2" t="s">
        <v>68</v>
      </c>
      <c r="I354" s="2" t="s">
        <v>68</v>
      </c>
      <c r="J354" s="2" t="s">
        <v>70</v>
      </c>
      <c r="L354" s="2" t="s">
        <v>1181</v>
      </c>
      <c r="O354" t="s">
        <v>72</v>
      </c>
      <c r="P354" s="2">
        <v>553259836</v>
      </c>
      <c r="R354" s="2">
        <v>13200</v>
      </c>
      <c r="S354" s="4">
        <f t="shared" si="10"/>
        <v>33264</v>
      </c>
      <c r="T354" s="4">
        <v>-97</v>
      </c>
      <c r="U354" s="4">
        <f t="shared" si="11"/>
        <v>997.92</v>
      </c>
      <c r="V354" s="5">
        <v>0.642</v>
      </c>
      <c r="W354" s="6">
        <v>0.65</v>
      </c>
      <c r="AU354" s="3" t="s">
        <v>73</v>
      </c>
      <c r="AW354" s="2" t="s">
        <v>74</v>
      </c>
      <c r="AZ354" t="s">
        <v>1182</v>
      </c>
      <c r="BB354" s="7" t="str">
        <f>HYPERLINK("https://v360.in/diamondview.aspx?cid=preet&amp;d=HN-128-02","https://v360.in/diamondview.aspx?cid=preet&amp;d=HN-128-02")</f>
        <v>https://v360.in/diamondview.aspx?cid=preet&amp;d=HN-128-02</v>
      </c>
    </row>
    <row r="355" ht="15.75" spans="1:54">
      <c r="A355" s="2" t="s">
        <v>1183</v>
      </c>
      <c r="B355" s="3" t="s">
        <v>63</v>
      </c>
      <c r="C355" s="2" t="s">
        <v>1152</v>
      </c>
      <c r="D355" s="2">
        <v>2.5</v>
      </c>
      <c r="E355" s="2" t="s">
        <v>63</v>
      </c>
      <c r="F355" s="2" t="s">
        <v>91</v>
      </c>
      <c r="G355" s="2" t="s">
        <v>67</v>
      </c>
      <c r="H355" s="2" t="s">
        <v>68</v>
      </c>
      <c r="I355" s="2" t="s">
        <v>68</v>
      </c>
      <c r="J355" s="2" t="s">
        <v>70</v>
      </c>
      <c r="L355" s="2" t="s">
        <v>1184</v>
      </c>
      <c r="O355" t="s">
        <v>72</v>
      </c>
      <c r="P355" s="2">
        <v>571301006</v>
      </c>
      <c r="R355" s="2">
        <v>15500</v>
      </c>
      <c r="S355" s="4">
        <f t="shared" si="10"/>
        <v>38750</v>
      </c>
      <c r="T355" s="4">
        <v>-97</v>
      </c>
      <c r="U355" s="4">
        <f t="shared" si="11"/>
        <v>1162.5</v>
      </c>
      <c r="V355" s="5">
        <v>0.695</v>
      </c>
      <c r="W355" s="6">
        <v>0.65</v>
      </c>
      <c r="AU355" s="3" t="s">
        <v>73</v>
      </c>
      <c r="AW355" s="2" t="s">
        <v>93</v>
      </c>
      <c r="AZ355" t="s">
        <v>1185</v>
      </c>
      <c r="BB355" s="7" t="s">
        <v>1186</v>
      </c>
    </row>
    <row r="356" ht="15.75" spans="1:54">
      <c r="A356" s="2" t="s">
        <v>1187</v>
      </c>
      <c r="B356" s="3" t="s">
        <v>63</v>
      </c>
      <c r="C356" s="2" t="s">
        <v>1152</v>
      </c>
      <c r="D356" s="2">
        <v>2.36</v>
      </c>
      <c r="E356" s="2" t="s">
        <v>63</v>
      </c>
      <c r="F356" s="2" t="s">
        <v>66</v>
      </c>
      <c r="G356" s="2" t="s">
        <v>67</v>
      </c>
      <c r="H356" s="2" t="s">
        <v>68</v>
      </c>
      <c r="I356" s="2" t="s">
        <v>68</v>
      </c>
      <c r="J356" s="2" t="s">
        <v>70</v>
      </c>
      <c r="L356" s="2" t="s">
        <v>1188</v>
      </c>
      <c r="O356" t="s">
        <v>72</v>
      </c>
      <c r="P356" s="2">
        <v>559298585</v>
      </c>
      <c r="R356" s="2">
        <v>14500</v>
      </c>
      <c r="S356" s="4">
        <f t="shared" si="10"/>
        <v>34220</v>
      </c>
      <c r="T356" s="4">
        <v>-97</v>
      </c>
      <c r="U356" s="4">
        <f t="shared" si="11"/>
        <v>1026.6</v>
      </c>
      <c r="V356" s="5">
        <v>0.676</v>
      </c>
      <c r="W356" s="2">
        <v>64</v>
      </c>
      <c r="AU356" s="3" t="s">
        <v>73</v>
      </c>
      <c r="AW356" s="2" t="s">
        <v>74</v>
      </c>
      <c r="AZ356" t="s">
        <v>1189</v>
      </c>
      <c r="BB356" s="7" t="str">
        <f>HYPERLINK("https://v360.in/diamondview.aspx?cid=preet&amp;d=HN-129-9","https://v360.in/diamondview.aspx?cid=preet&amp;d=HN-129-9")</f>
        <v>https://v360.in/diamondview.aspx?cid=preet&amp;d=HN-129-9</v>
      </c>
    </row>
    <row r="357" ht="15.75" spans="1:54">
      <c r="A357" s="2" t="s">
        <v>1190</v>
      </c>
      <c r="B357" s="3" t="s">
        <v>63</v>
      </c>
      <c r="C357" s="2" t="s">
        <v>1152</v>
      </c>
      <c r="D357" s="2">
        <v>2.34</v>
      </c>
      <c r="E357" s="2" t="s">
        <v>63</v>
      </c>
      <c r="F357" s="2" t="s">
        <v>155</v>
      </c>
      <c r="G357" s="2" t="s">
        <v>67</v>
      </c>
      <c r="H357" s="2" t="s">
        <v>68</v>
      </c>
      <c r="I357" s="2" t="s">
        <v>68</v>
      </c>
      <c r="J357" s="2" t="s">
        <v>70</v>
      </c>
      <c r="L357" s="2" t="s">
        <v>1191</v>
      </c>
      <c r="O357" t="s">
        <v>72</v>
      </c>
      <c r="P357" s="2">
        <v>553217191</v>
      </c>
      <c r="R357" s="2">
        <v>12200</v>
      </c>
      <c r="S357" s="4">
        <f t="shared" si="10"/>
        <v>28548</v>
      </c>
      <c r="T357" s="4">
        <v>-97</v>
      </c>
      <c r="U357" s="4">
        <f t="shared" si="11"/>
        <v>856.44</v>
      </c>
      <c r="V357" s="5">
        <v>0.613</v>
      </c>
      <c r="W357" s="5">
        <v>0.715</v>
      </c>
      <c r="AU357" s="3" t="s">
        <v>73</v>
      </c>
      <c r="AW357" s="2" t="s">
        <v>74</v>
      </c>
      <c r="AZ357" t="s">
        <v>1192</v>
      </c>
      <c r="BB357" s="7" t="str">
        <f>HYPERLINK("https://v360.in/diamondview.aspx?cid=preet&amp;d=HN-127-1","https://v360.in/diamondview.aspx?cid=preet&amp;d=HN-127-1")</f>
        <v>https://v360.in/diamondview.aspx?cid=preet&amp;d=HN-127-1</v>
      </c>
    </row>
    <row r="358" ht="15.75" spans="1:54">
      <c r="A358" s="2" t="s">
        <v>1193</v>
      </c>
      <c r="B358" s="3" t="s">
        <v>63</v>
      </c>
      <c r="C358" s="2" t="s">
        <v>1152</v>
      </c>
      <c r="D358" s="2">
        <v>2.33</v>
      </c>
      <c r="E358" s="2" t="s">
        <v>63</v>
      </c>
      <c r="F358" s="2" t="s">
        <v>155</v>
      </c>
      <c r="G358" s="2" t="s">
        <v>67</v>
      </c>
      <c r="H358" s="2" t="s">
        <v>68</v>
      </c>
      <c r="I358" s="2" t="s">
        <v>68</v>
      </c>
      <c r="J358" s="2" t="s">
        <v>70</v>
      </c>
      <c r="L358" s="2" t="s">
        <v>1194</v>
      </c>
      <c r="O358" t="s">
        <v>72</v>
      </c>
      <c r="P358" s="2">
        <v>523279510</v>
      </c>
      <c r="R358" s="2">
        <v>12200</v>
      </c>
      <c r="S358" s="4">
        <f t="shared" si="10"/>
        <v>28426</v>
      </c>
      <c r="T358" s="4">
        <v>-97</v>
      </c>
      <c r="U358" s="4">
        <f t="shared" si="11"/>
        <v>852.78</v>
      </c>
      <c r="V358" s="5">
        <v>0.712</v>
      </c>
      <c r="W358" s="5">
        <v>0.645</v>
      </c>
      <c r="AU358" s="3" t="s">
        <v>73</v>
      </c>
      <c r="AW358" s="2" t="s">
        <v>74</v>
      </c>
      <c r="AZ358" t="s">
        <v>1195</v>
      </c>
      <c r="BB358" s="7" t="str">
        <f>HYPERLINK("https://view.gem360.in/gem360/2304220619-HN52-34/gem360-2304220619-HN52-34.html","https://view.gem360.in/gem360/2304220619-HN52-34/gem360-2304220619-HN52-34.html")</f>
        <v>https://view.gem360.in/gem360/2304220619-HN52-34/gem360-2304220619-HN52-34.html</v>
      </c>
    </row>
    <row r="359" ht="15.75" spans="1:54">
      <c r="A359" s="2" t="s">
        <v>1196</v>
      </c>
      <c r="B359" s="3" t="s">
        <v>63</v>
      </c>
      <c r="C359" s="2" t="s">
        <v>1152</v>
      </c>
      <c r="D359" s="2">
        <v>2.3</v>
      </c>
      <c r="E359" s="2" t="s">
        <v>63</v>
      </c>
      <c r="F359" s="2" t="s">
        <v>91</v>
      </c>
      <c r="G359" s="2" t="s">
        <v>67</v>
      </c>
      <c r="H359" s="2" t="s">
        <v>68</v>
      </c>
      <c r="I359" s="2" t="s">
        <v>68</v>
      </c>
      <c r="J359" s="2" t="s">
        <v>70</v>
      </c>
      <c r="L359" s="2" t="s">
        <v>1197</v>
      </c>
      <c r="O359" t="s">
        <v>72</v>
      </c>
      <c r="P359" s="2">
        <v>571301005</v>
      </c>
      <c r="R359" s="2">
        <v>15500</v>
      </c>
      <c r="S359" s="4">
        <f t="shared" si="10"/>
        <v>35650</v>
      </c>
      <c r="T359" s="4">
        <v>-97</v>
      </c>
      <c r="U359" s="4">
        <f t="shared" si="11"/>
        <v>1069.5</v>
      </c>
      <c r="V359" s="5">
        <v>0.622</v>
      </c>
      <c r="W359" s="5">
        <v>0.655</v>
      </c>
      <c r="AU359" s="3" t="s">
        <v>73</v>
      </c>
      <c r="AW359" s="2" t="s">
        <v>93</v>
      </c>
      <c r="AZ359" t="s">
        <v>1198</v>
      </c>
      <c r="BB359" s="7" t="s">
        <v>1199</v>
      </c>
    </row>
    <row r="360" ht="15.75" spans="1:54">
      <c r="A360" s="2" t="s">
        <v>1200</v>
      </c>
      <c r="B360" s="3" t="s">
        <v>63</v>
      </c>
      <c r="C360" s="2" t="s">
        <v>1152</v>
      </c>
      <c r="D360" s="2">
        <v>2.17</v>
      </c>
      <c r="E360" s="2" t="s">
        <v>65</v>
      </c>
      <c r="F360" s="2" t="s">
        <v>91</v>
      </c>
      <c r="G360" s="2" t="s">
        <v>67</v>
      </c>
      <c r="H360" s="2" t="s">
        <v>68</v>
      </c>
      <c r="I360" s="2" t="s">
        <v>68</v>
      </c>
      <c r="J360" s="2" t="s">
        <v>70</v>
      </c>
      <c r="L360" s="2" t="s">
        <v>1201</v>
      </c>
      <c r="O360" t="s">
        <v>72</v>
      </c>
      <c r="P360" s="2">
        <v>523271700</v>
      </c>
      <c r="R360" s="2">
        <v>17000</v>
      </c>
      <c r="S360" s="4">
        <f t="shared" si="10"/>
        <v>36890</v>
      </c>
      <c r="T360" s="4">
        <v>-97</v>
      </c>
      <c r="U360" s="4">
        <f t="shared" si="11"/>
        <v>1106.7</v>
      </c>
      <c r="V360" s="6">
        <v>0.7</v>
      </c>
      <c r="W360" s="5">
        <v>0.615</v>
      </c>
      <c r="AU360" s="3" t="s">
        <v>73</v>
      </c>
      <c r="AW360" s="2" t="s">
        <v>74</v>
      </c>
      <c r="AZ360" t="s">
        <v>1202</v>
      </c>
      <c r="BB360" s="7" t="str">
        <f>HYPERLINK("","")</f>
        <v/>
      </c>
    </row>
    <row r="361" ht="15.75" spans="1:54">
      <c r="A361" s="2" t="s">
        <v>1203</v>
      </c>
      <c r="B361" s="3" t="s">
        <v>63</v>
      </c>
      <c r="C361" s="2" t="s">
        <v>1152</v>
      </c>
      <c r="D361" s="2">
        <v>2.15</v>
      </c>
      <c r="E361" s="2" t="s">
        <v>65</v>
      </c>
      <c r="F361" s="2" t="s">
        <v>66</v>
      </c>
      <c r="G361" s="2" t="s">
        <v>67</v>
      </c>
      <c r="H361" s="2" t="s">
        <v>68</v>
      </c>
      <c r="I361" s="2" t="s">
        <v>68</v>
      </c>
      <c r="J361" s="2" t="s">
        <v>70</v>
      </c>
      <c r="L361" s="2" t="s">
        <v>1204</v>
      </c>
      <c r="O361" t="s">
        <v>72</v>
      </c>
      <c r="P361" s="2">
        <v>559298582</v>
      </c>
      <c r="R361" s="2">
        <v>15500</v>
      </c>
      <c r="S361" s="4">
        <f t="shared" si="10"/>
        <v>33325</v>
      </c>
      <c r="T361" s="4">
        <v>-97</v>
      </c>
      <c r="U361" s="4">
        <f t="shared" si="11"/>
        <v>999.75</v>
      </c>
      <c r="V361" s="5">
        <v>0.693</v>
      </c>
      <c r="W361" s="5">
        <v>0.695</v>
      </c>
      <c r="AU361" s="3" t="s">
        <v>73</v>
      </c>
      <c r="AW361" s="2" t="s">
        <v>74</v>
      </c>
      <c r="AZ361" t="s">
        <v>1205</v>
      </c>
      <c r="BB361" s="7" t="str">
        <f>HYPERLINK("https://v360.in/diamondview.aspx?cid=preet&amp;d=HN-129-12","https://v360.in/diamondview.aspx?cid=preet&amp;d=HN-129-12")</f>
        <v>https://v360.in/diamondview.aspx?cid=preet&amp;d=HN-129-12</v>
      </c>
    </row>
    <row r="362" ht="15.75" spans="1:54">
      <c r="A362" s="2" t="s">
        <v>1206</v>
      </c>
      <c r="B362" s="3" t="s">
        <v>63</v>
      </c>
      <c r="C362" s="2" t="s">
        <v>1152</v>
      </c>
      <c r="D362" s="2">
        <v>2.14</v>
      </c>
      <c r="E362" s="2" t="s">
        <v>65</v>
      </c>
      <c r="F362" s="2" t="s">
        <v>91</v>
      </c>
      <c r="G362" s="2" t="s">
        <v>67</v>
      </c>
      <c r="H362" s="2" t="s">
        <v>68</v>
      </c>
      <c r="I362" s="2" t="s">
        <v>68</v>
      </c>
      <c r="J362" s="2" t="s">
        <v>70</v>
      </c>
      <c r="L362" s="2" t="s">
        <v>1207</v>
      </c>
      <c r="O362" t="s">
        <v>72</v>
      </c>
      <c r="P362" s="2">
        <v>559298583</v>
      </c>
      <c r="R362" s="2">
        <v>17000</v>
      </c>
      <c r="S362" s="4">
        <f t="shared" si="10"/>
        <v>36380</v>
      </c>
      <c r="T362" s="4">
        <v>-97</v>
      </c>
      <c r="U362" s="4">
        <f t="shared" si="11"/>
        <v>1091.4</v>
      </c>
      <c r="V362" s="5">
        <v>0.683</v>
      </c>
      <c r="W362" s="5">
        <v>0.665</v>
      </c>
      <c r="AU362" s="3" t="s">
        <v>73</v>
      </c>
      <c r="AW362" s="2" t="s">
        <v>74</v>
      </c>
      <c r="AZ362" t="s">
        <v>1208</v>
      </c>
      <c r="BB362" s="7" t="str">
        <f>HYPERLINK("https://v360.in/diamondview.aspx?cid=preet&amp;d=HN-129-13","https://v360.in/diamondview.aspx?cid=preet&amp;d=HN-129-13")</f>
        <v>https://v360.in/diamondview.aspx?cid=preet&amp;d=HN-129-13</v>
      </c>
    </row>
    <row r="363" ht="15.75" spans="1:54">
      <c r="A363" s="2" t="s">
        <v>1209</v>
      </c>
      <c r="B363" s="3" t="s">
        <v>63</v>
      </c>
      <c r="C363" s="2" t="s">
        <v>1152</v>
      </c>
      <c r="D363" s="2">
        <v>2.13</v>
      </c>
      <c r="E363" s="2" t="s">
        <v>65</v>
      </c>
      <c r="F363" s="2" t="s">
        <v>66</v>
      </c>
      <c r="G363" s="2" t="s">
        <v>67</v>
      </c>
      <c r="H363" s="2" t="s">
        <v>68</v>
      </c>
      <c r="I363" s="2" t="s">
        <v>68</v>
      </c>
      <c r="J363" s="2" t="s">
        <v>70</v>
      </c>
      <c r="L363" s="2" t="s">
        <v>1210</v>
      </c>
      <c r="O363" t="s">
        <v>72</v>
      </c>
      <c r="P363" s="2">
        <v>553217183</v>
      </c>
      <c r="R363" s="2">
        <v>15500</v>
      </c>
      <c r="S363" s="4">
        <f t="shared" si="10"/>
        <v>33015</v>
      </c>
      <c r="T363" s="4">
        <v>-97</v>
      </c>
      <c r="U363" s="4">
        <f t="shared" si="11"/>
        <v>990.45</v>
      </c>
      <c r="V363" s="5">
        <v>0.677</v>
      </c>
      <c r="W363" s="5">
        <v>0.665</v>
      </c>
      <c r="AU363" s="3" t="s">
        <v>73</v>
      </c>
      <c r="AW363" s="2" t="s">
        <v>74</v>
      </c>
      <c r="AZ363" t="s">
        <v>1211</v>
      </c>
      <c r="BB363" s="7" t="str">
        <f>HYPERLINK("https://v360.in/diamondview.aspx?cid=preet&amp;d=HN-128-15","https://v360.in/diamondview.aspx?cid=preet&amp;d=HN-128-15")</f>
        <v>https://v360.in/diamondview.aspx?cid=preet&amp;d=HN-128-15</v>
      </c>
    </row>
    <row r="364" ht="15.75" spans="1:54">
      <c r="A364" s="2" t="s">
        <v>1212</v>
      </c>
      <c r="B364" s="3" t="s">
        <v>63</v>
      </c>
      <c r="C364" s="2" t="s">
        <v>1152</v>
      </c>
      <c r="D364" s="2">
        <v>2.13</v>
      </c>
      <c r="E364" s="2" t="s">
        <v>65</v>
      </c>
      <c r="F364" s="2" t="s">
        <v>91</v>
      </c>
      <c r="G364" s="2" t="s">
        <v>67</v>
      </c>
      <c r="H364" s="2" t="s">
        <v>68</v>
      </c>
      <c r="I364" s="2" t="s">
        <v>68</v>
      </c>
      <c r="J364" s="2" t="s">
        <v>70</v>
      </c>
      <c r="L364" s="2" t="s">
        <v>1213</v>
      </c>
      <c r="O364" t="s">
        <v>72</v>
      </c>
      <c r="P364" s="2">
        <v>553217220</v>
      </c>
      <c r="R364" s="2">
        <v>17000</v>
      </c>
      <c r="S364" s="4">
        <f t="shared" si="10"/>
        <v>36210</v>
      </c>
      <c r="T364" s="4">
        <v>-97</v>
      </c>
      <c r="U364" s="4">
        <f t="shared" si="11"/>
        <v>1086.3</v>
      </c>
      <c r="V364" s="5">
        <v>0.638</v>
      </c>
      <c r="W364" s="5">
        <v>0.625</v>
      </c>
      <c r="AU364" s="3" t="s">
        <v>73</v>
      </c>
      <c r="AW364" s="2" t="s">
        <v>74</v>
      </c>
      <c r="AZ364" t="s">
        <v>1214</v>
      </c>
      <c r="BB364" s="7" t="str">
        <f>HYPERLINK("https://v360.in/diamondview.aspx?cid=preet&amp;d=HN-127-31","https://v360.in/diamondview.aspx?cid=preet&amp;d=HN-127-31")</f>
        <v>https://v360.in/diamondview.aspx?cid=preet&amp;d=HN-127-31</v>
      </c>
    </row>
    <row r="365" ht="15.75" spans="1:54">
      <c r="A365" s="2" t="s">
        <v>1215</v>
      </c>
      <c r="B365" s="3" t="s">
        <v>63</v>
      </c>
      <c r="C365" s="2" t="s">
        <v>1152</v>
      </c>
      <c r="D365" s="2">
        <v>2.11</v>
      </c>
      <c r="E365" s="2" t="s">
        <v>81</v>
      </c>
      <c r="F365" s="2" t="s">
        <v>66</v>
      </c>
      <c r="G365" s="2" t="s">
        <v>67</v>
      </c>
      <c r="H365" s="2" t="s">
        <v>68</v>
      </c>
      <c r="I365" s="2" t="s">
        <v>68</v>
      </c>
      <c r="J365" s="2" t="s">
        <v>70</v>
      </c>
      <c r="L365" s="2" t="s">
        <v>1216</v>
      </c>
      <c r="O365" t="s">
        <v>72</v>
      </c>
      <c r="P365" s="2">
        <v>523298152</v>
      </c>
      <c r="R365" s="2">
        <v>12000</v>
      </c>
      <c r="S365" s="4">
        <f t="shared" si="10"/>
        <v>25320</v>
      </c>
      <c r="T365" s="4">
        <v>-97</v>
      </c>
      <c r="U365" s="4">
        <f t="shared" si="11"/>
        <v>759.6</v>
      </c>
      <c r="V365" s="5">
        <v>0.705</v>
      </c>
      <c r="W365" s="5">
        <v>0.685</v>
      </c>
      <c r="AU365" s="3" t="s">
        <v>73</v>
      </c>
      <c r="AW365" s="2" t="s">
        <v>74</v>
      </c>
      <c r="AZ365" t="s">
        <v>1217</v>
      </c>
      <c r="BB365" s="7" t="str">
        <f>HYPERLINK("https://view.gem360.in/gem360/2504220553-HN40-44/gem360-2504220553-HN40-44.html","https://view.gem360.in/gem360/2504220553-HN40-44/gem360-2504220553-HN40-44.html")</f>
        <v>https://view.gem360.in/gem360/2504220553-HN40-44/gem360-2504220553-HN40-44.html</v>
      </c>
    </row>
    <row r="366" ht="15.75" spans="1:54">
      <c r="A366" s="2" t="s">
        <v>1218</v>
      </c>
      <c r="B366" s="3" t="s">
        <v>63</v>
      </c>
      <c r="C366" s="2" t="s">
        <v>1152</v>
      </c>
      <c r="D366" s="2">
        <v>2.08</v>
      </c>
      <c r="E366" s="2" t="s">
        <v>65</v>
      </c>
      <c r="F366" s="2" t="s">
        <v>155</v>
      </c>
      <c r="G366" s="2" t="s">
        <v>67</v>
      </c>
      <c r="H366" s="2" t="s">
        <v>68</v>
      </c>
      <c r="I366" s="2" t="s">
        <v>68</v>
      </c>
      <c r="J366" s="2" t="s">
        <v>70</v>
      </c>
      <c r="L366" s="2" t="s">
        <v>1219</v>
      </c>
      <c r="O366" t="s">
        <v>72</v>
      </c>
      <c r="P366" s="2">
        <v>559298578</v>
      </c>
      <c r="R366" s="2">
        <v>13200</v>
      </c>
      <c r="S366" s="4">
        <f t="shared" si="10"/>
        <v>27456</v>
      </c>
      <c r="T366" s="4">
        <v>-97</v>
      </c>
      <c r="U366" s="4">
        <f t="shared" si="11"/>
        <v>823.68</v>
      </c>
      <c r="V366" s="5">
        <v>0.671</v>
      </c>
      <c r="W366" s="2">
        <v>64</v>
      </c>
      <c r="AU366" s="3" t="s">
        <v>73</v>
      </c>
      <c r="AW366" s="2" t="s">
        <v>74</v>
      </c>
      <c r="AZ366" t="s">
        <v>1220</v>
      </c>
      <c r="BB366" s="7" t="str">
        <f>HYPERLINK("https://v360.in/diamondview.aspx?cid=preet&amp;d=HN-129-15","https://v360.in/diamondview.aspx?cid=preet&amp;d=HN-129-15")</f>
        <v>https://v360.in/diamondview.aspx?cid=preet&amp;d=HN-129-15</v>
      </c>
    </row>
    <row r="367" ht="15.75" spans="1:54">
      <c r="A367" s="2" t="s">
        <v>1221</v>
      </c>
      <c r="B367" s="3" t="s">
        <v>63</v>
      </c>
      <c r="C367" s="2" t="s">
        <v>1152</v>
      </c>
      <c r="D367" s="2">
        <v>2.02</v>
      </c>
      <c r="E367" s="2" t="s">
        <v>119</v>
      </c>
      <c r="F367" s="2" t="s">
        <v>66</v>
      </c>
      <c r="G367" s="2" t="s">
        <v>67</v>
      </c>
      <c r="H367" s="2" t="s">
        <v>68</v>
      </c>
      <c r="I367" s="2" t="s">
        <v>68</v>
      </c>
      <c r="J367" s="2" t="s">
        <v>70</v>
      </c>
      <c r="L367" s="2" t="s">
        <v>1222</v>
      </c>
      <c r="O367" t="s">
        <v>72</v>
      </c>
      <c r="P367" s="2">
        <v>553259841</v>
      </c>
      <c r="R367" s="2">
        <v>16500</v>
      </c>
      <c r="S367" s="4">
        <f t="shared" si="10"/>
        <v>33330</v>
      </c>
      <c r="T367" s="4">
        <v>-97</v>
      </c>
      <c r="U367" s="4">
        <f t="shared" si="11"/>
        <v>999.9</v>
      </c>
      <c r="V367" s="5">
        <v>0.672</v>
      </c>
      <c r="W367" s="5">
        <v>0.615</v>
      </c>
      <c r="AU367" s="3" t="s">
        <v>73</v>
      </c>
      <c r="AW367" s="2" t="s">
        <v>74</v>
      </c>
      <c r="AZ367" t="s">
        <v>1223</v>
      </c>
      <c r="BB367" s="7" t="str">
        <f>HYPERLINK("https://v360.in/diamondview.aspx?cid=preet&amp;d=HN-128-14","https://v360.in/diamondview.aspx?cid=preet&amp;d=HN-128-14")</f>
        <v>https://v360.in/diamondview.aspx?cid=preet&amp;d=HN-128-14</v>
      </c>
    </row>
    <row r="368" ht="15.75" spans="1:54">
      <c r="A368" s="2" t="s">
        <v>1224</v>
      </c>
      <c r="B368" s="3" t="s">
        <v>63</v>
      </c>
      <c r="C368" s="2" t="s">
        <v>1152</v>
      </c>
      <c r="D368" s="2">
        <v>2.02</v>
      </c>
      <c r="E368" s="2" t="s">
        <v>119</v>
      </c>
      <c r="F368" s="2" t="s">
        <v>155</v>
      </c>
      <c r="G368" s="2" t="s">
        <v>67</v>
      </c>
      <c r="H368" s="2" t="s">
        <v>68</v>
      </c>
      <c r="I368" s="2" t="s">
        <v>68</v>
      </c>
      <c r="J368" s="2" t="s">
        <v>70</v>
      </c>
      <c r="L368" s="2" t="s">
        <v>1225</v>
      </c>
      <c r="O368" t="s">
        <v>72</v>
      </c>
      <c r="P368" s="2">
        <v>559298575</v>
      </c>
      <c r="R368" s="2">
        <v>14100</v>
      </c>
      <c r="S368" s="4">
        <f t="shared" si="10"/>
        <v>28482</v>
      </c>
      <c r="T368" s="4">
        <v>-97</v>
      </c>
      <c r="U368" s="4">
        <f t="shared" si="11"/>
        <v>854.46</v>
      </c>
      <c r="V368" s="5">
        <v>0.681</v>
      </c>
      <c r="W368" s="2">
        <v>68</v>
      </c>
      <c r="AU368" s="3" t="s">
        <v>73</v>
      </c>
      <c r="AW368" s="2" t="s">
        <v>74</v>
      </c>
      <c r="AZ368" t="s">
        <v>1226</v>
      </c>
      <c r="BB368" s="7" t="str">
        <f>HYPERLINK("https://v360.in/diamondview.aspx?cid=preet&amp;d=HN-129-25","https://v360.in/diamondview.aspx?cid=preet&amp;d=HN-129-25")</f>
        <v>https://v360.in/diamondview.aspx?cid=preet&amp;d=HN-129-25</v>
      </c>
    </row>
    <row r="369" ht="15.75" spans="1:54">
      <c r="A369" s="2" t="s">
        <v>1227</v>
      </c>
      <c r="B369" s="3" t="s">
        <v>63</v>
      </c>
      <c r="C369" s="2" t="s">
        <v>1152</v>
      </c>
      <c r="D369" s="2">
        <v>2.02</v>
      </c>
      <c r="E369" s="2" t="s">
        <v>65</v>
      </c>
      <c r="F369" s="2" t="s">
        <v>314</v>
      </c>
      <c r="G369" s="2" t="s">
        <v>67</v>
      </c>
      <c r="H369" s="2" t="s">
        <v>68</v>
      </c>
      <c r="I369" s="2" t="s">
        <v>68</v>
      </c>
      <c r="J369" s="2" t="s">
        <v>70</v>
      </c>
      <c r="L369" s="2" t="s">
        <v>1228</v>
      </c>
      <c r="O369" t="s">
        <v>72</v>
      </c>
      <c r="P369" s="2">
        <v>560231281</v>
      </c>
      <c r="R369" s="2">
        <v>10800</v>
      </c>
      <c r="S369" s="4">
        <f t="shared" si="10"/>
        <v>21816</v>
      </c>
      <c r="T369" s="4">
        <v>-97</v>
      </c>
      <c r="U369" s="4">
        <f t="shared" si="11"/>
        <v>654.48</v>
      </c>
      <c r="V369" s="5">
        <v>0.686</v>
      </c>
      <c r="W369" s="5">
        <v>0.635</v>
      </c>
      <c r="AU369" s="3" t="s">
        <v>73</v>
      </c>
      <c r="AW369" s="2" t="s">
        <v>74</v>
      </c>
      <c r="AZ369" t="s">
        <v>1229</v>
      </c>
      <c r="BB369" s="7" t="str">
        <f>HYPERLINK("https://v360.in/diamondview.aspx?cid=preet&amp;d=HN-129-30","https://v360.in/diamondview.aspx?cid=preet&amp;d=HN-129-30")</f>
        <v>https://v360.in/diamondview.aspx?cid=preet&amp;d=HN-129-30</v>
      </c>
    </row>
    <row r="370" ht="15.75" spans="1:54">
      <c r="A370" s="2" t="s">
        <v>1230</v>
      </c>
      <c r="B370" s="3" t="s">
        <v>63</v>
      </c>
      <c r="C370" s="2" t="s">
        <v>1152</v>
      </c>
      <c r="D370" s="2">
        <v>2.01</v>
      </c>
      <c r="E370" s="2" t="s">
        <v>119</v>
      </c>
      <c r="F370" s="2" t="s">
        <v>91</v>
      </c>
      <c r="G370" s="2" t="s">
        <v>67</v>
      </c>
      <c r="H370" s="2" t="s">
        <v>68</v>
      </c>
      <c r="I370" s="2" t="s">
        <v>68</v>
      </c>
      <c r="J370" s="2" t="s">
        <v>70</v>
      </c>
      <c r="L370" s="2" t="s">
        <v>1231</v>
      </c>
      <c r="O370" t="s">
        <v>72</v>
      </c>
      <c r="P370" s="2">
        <v>560231267</v>
      </c>
      <c r="R370" s="2">
        <v>18000</v>
      </c>
      <c r="S370" s="4">
        <f t="shared" si="10"/>
        <v>36180</v>
      </c>
      <c r="T370" s="4">
        <v>-97</v>
      </c>
      <c r="U370" s="4">
        <f t="shared" si="11"/>
        <v>1085.4</v>
      </c>
      <c r="V370" s="5">
        <v>0.683</v>
      </c>
      <c r="W370" s="2">
        <v>69</v>
      </c>
      <c r="AU370" s="3" t="s">
        <v>73</v>
      </c>
      <c r="AW370" s="2" t="s">
        <v>74</v>
      </c>
      <c r="AZ370" t="s">
        <v>1232</v>
      </c>
      <c r="BB370" s="7" t="str">
        <f>HYPERLINK("https://v360.in/diamondview.aspx?cid=preet&amp;d=HN-130-4","https://v360.in/diamondview.aspx?cid=preet&amp;d=HN-130-4")</f>
        <v>https://v360.in/diamondview.aspx?cid=preet&amp;d=HN-130-4</v>
      </c>
    </row>
    <row r="371" ht="15.75" spans="1:54">
      <c r="A371" s="2" t="s">
        <v>1233</v>
      </c>
      <c r="B371" s="3" t="s">
        <v>63</v>
      </c>
      <c r="C371" s="2" t="s">
        <v>1152</v>
      </c>
      <c r="D371" s="2">
        <v>2.01</v>
      </c>
      <c r="E371" s="2" t="s">
        <v>65</v>
      </c>
      <c r="F371" s="2" t="s">
        <v>314</v>
      </c>
      <c r="G371" s="2" t="s">
        <v>67</v>
      </c>
      <c r="H371" s="2" t="s">
        <v>68</v>
      </c>
      <c r="I371" s="2" t="s">
        <v>68</v>
      </c>
      <c r="J371" s="2" t="s">
        <v>70</v>
      </c>
      <c r="L371" s="2" t="s">
        <v>1234</v>
      </c>
      <c r="O371" t="s">
        <v>72</v>
      </c>
      <c r="P371" s="2">
        <v>559298580</v>
      </c>
      <c r="R371" s="2">
        <v>10800</v>
      </c>
      <c r="S371" s="4">
        <f t="shared" si="10"/>
        <v>21708</v>
      </c>
      <c r="T371" s="4">
        <v>-97</v>
      </c>
      <c r="U371" s="4">
        <f t="shared" si="11"/>
        <v>651.24</v>
      </c>
      <c r="V371" s="5">
        <v>0.676</v>
      </c>
      <c r="W371" s="5">
        <v>0.685</v>
      </c>
      <c r="AU371" s="3" t="s">
        <v>73</v>
      </c>
      <c r="AW371" s="2" t="s">
        <v>74</v>
      </c>
      <c r="AZ371" t="s">
        <v>1235</v>
      </c>
      <c r="BB371" s="7" t="str">
        <f>HYPERLINK("https://v360.in/diamondview.aspx?cid=preet&amp;d=HN-129-14","https://v360.in/diamondview.aspx?cid=preet&amp;d=HN-129-14")</f>
        <v>https://v360.in/diamondview.aspx?cid=preet&amp;d=HN-129-14</v>
      </c>
    </row>
    <row r="372" ht="15.75" spans="1:54">
      <c r="A372" s="2" t="s">
        <v>1236</v>
      </c>
      <c r="B372" s="3" t="s">
        <v>63</v>
      </c>
      <c r="C372" s="2" t="s">
        <v>1152</v>
      </c>
      <c r="D372" s="2">
        <v>2.01</v>
      </c>
      <c r="E372" s="2" t="s">
        <v>65</v>
      </c>
      <c r="F372" s="2" t="s">
        <v>155</v>
      </c>
      <c r="G372" s="2" t="s">
        <v>67</v>
      </c>
      <c r="H372" s="2" t="s">
        <v>68</v>
      </c>
      <c r="I372" s="2" t="s">
        <v>68</v>
      </c>
      <c r="J372" s="2" t="s">
        <v>70</v>
      </c>
      <c r="L372" s="2" t="s">
        <v>1237</v>
      </c>
      <c r="O372" t="s">
        <v>72</v>
      </c>
      <c r="P372" s="2">
        <v>559298587</v>
      </c>
      <c r="R372" s="2">
        <v>13200</v>
      </c>
      <c r="S372" s="4">
        <f t="shared" si="10"/>
        <v>26532</v>
      </c>
      <c r="T372" s="4">
        <v>-97</v>
      </c>
      <c r="U372" s="4">
        <f t="shared" si="11"/>
        <v>795.96</v>
      </c>
      <c r="V372" s="5">
        <v>0.687</v>
      </c>
      <c r="W372" s="2">
        <v>66</v>
      </c>
      <c r="AU372" s="3" t="s">
        <v>73</v>
      </c>
      <c r="AW372" s="2" t="s">
        <v>74</v>
      </c>
      <c r="AZ372" t="s">
        <v>1238</v>
      </c>
      <c r="BB372" s="7" t="str">
        <f>HYPERLINK("https://v360.in/diamondview.aspx?cid=preet&amp;d=HN-129-6","https://v360.in/diamondview.aspx?cid=preet&amp;d=HN-129-6")</f>
        <v>https://v360.in/diamondview.aspx?cid=preet&amp;d=HN-129-6</v>
      </c>
    </row>
    <row r="373" ht="15.75" spans="1:54">
      <c r="A373" s="2" t="s">
        <v>1239</v>
      </c>
      <c r="B373" s="3" t="s">
        <v>63</v>
      </c>
      <c r="C373" s="2" t="s">
        <v>1152</v>
      </c>
      <c r="D373" s="2">
        <v>2.01</v>
      </c>
      <c r="E373" s="2" t="s">
        <v>63</v>
      </c>
      <c r="F373" s="2" t="s">
        <v>66</v>
      </c>
      <c r="G373" s="2" t="s">
        <v>67</v>
      </c>
      <c r="H373" s="2" t="s">
        <v>68</v>
      </c>
      <c r="I373" s="2" t="s">
        <v>68</v>
      </c>
      <c r="J373" s="2" t="s">
        <v>70</v>
      </c>
      <c r="L373" s="2" t="s">
        <v>1240</v>
      </c>
      <c r="O373" t="s">
        <v>72</v>
      </c>
      <c r="P373" s="2">
        <v>553259839</v>
      </c>
      <c r="R373" s="2">
        <v>14500</v>
      </c>
      <c r="S373" s="4">
        <f t="shared" si="10"/>
        <v>29145</v>
      </c>
      <c r="T373" s="4">
        <v>-97</v>
      </c>
      <c r="U373" s="4">
        <f t="shared" si="11"/>
        <v>874.35</v>
      </c>
      <c r="V373" s="5">
        <v>0.664</v>
      </c>
      <c r="W373" s="5">
        <v>0.625</v>
      </c>
      <c r="AU373" s="3" t="s">
        <v>73</v>
      </c>
      <c r="AW373" s="2" t="s">
        <v>74</v>
      </c>
      <c r="AZ373" t="s">
        <v>1241</v>
      </c>
      <c r="BB373" s="7" t="str">
        <f>HYPERLINK("https://v360.in/diamondview.aspx?cid=preet&amp;d=HN-128-44","https://v360.in/diamondview.aspx?cid=preet&amp;d=HN-128-44")</f>
        <v>https://v360.in/diamondview.aspx?cid=preet&amp;d=HN-128-44</v>
      </c>
    </row>
    <row r="374" ht="15.75" spans="1:54">
      <c r="A374" s="2" t="s">
        <v>1242</v>
      </c>
      <c r="B374" s="3" t="s">
        <v>63</v>
      </c>
      <c r="C374" s="2" t="s">
        <v>1152</v>
      </c>
      <c r="D374" s="2">
        <v>2.01</v>
      </c>
      <c r="E374" s="2" t="s">
        <v>63</v>
      </c>
      <c r="F374" s="2" t="s">
        <v>155</v>
      </c>
      <c r="G374" s="2" t="s">
        <v>67</v>
      </c>
      <c r="H374" s="2" t="s">
        <v>68</v>
      </c>
      <c r="I374" s="2" t="s">
        <v>68</v>
      </c>
      <c r="J374" s="2" t="s">
        <v>70</v>
      </c>
      <c r="L374" s="2" t="s">
        <v>1243</v>
      </c>
      <c r="O374" t="s">
        <v>72</v>
      </c>
      <c r="P374" s="2">
        <v>560231269</v>
      </c>
      <c r="R374" s="2">
        <v>12200</v>
      </c>
      <c r="S374" s="4">
        <f t="shared" si="10"/>
        <v>24522</v>
      </c>
      <c r="T374" s="4">
        <v>-97</v>
      </c>
      <c r="U374" s="4">
        <f t="shared" si="11"/>
        <v>735.66</v>
      </c>
      <c r="V374" s="5">
        <v>0.652</v>
      </c>
      <c r="W374" s="2">
        <v>61</v>
      </c>
      <c r="AU374" s="3" t="s">
        <v>73</v>
      </c>
      <c r="AW374" s="2" t="s">
        <v>74</v>
      </c>
      <c r="AZ374" t="s">
        <v>1244</v>
      </c>
      <c r="BB374" s="7" t="str">
        <f>HYPERLINK("https://v360.in/diamondview.aspx?cid=preet&amp;d=HN-130-9","https://v360.in/diamondview.aspx?cid=preet&amp;d=HN-130-9")</f>
        <v>https://v360.in/diamondview.aspx?cid=preet&amp;d=HN-130-9</v>
      </c>
    </row>
    <row r="375" ht="15.75" spans="1:54">
      <c r="A375" s="2" t="s">
        <v>1245</v>
      </c>
      <c r="B375" s="3" t="s">
        <v>63</v>
      </c>
      <c r="C375" s="2" t="s">
        <v>1152</v>
      </c>
      <c r="D375" s="2">
        <v>2</v>
      </c>
      <c r="E375" s="2" t="s">
        <v>119</v>
      </c>
      <c r="F375" s="2" t="s">
        <v>66</v>
      </c>
      <c r="G375" s="2" t="s">
        <v>67</v>
      </c>
      <c r="H375" s="2" t="s">
        <v>68</v>
      </c>
      <c r="I375" s="2" t="s">
        <v>68</v>
      </c>
      <c r="J375" s="2" t="s">
        <v>70</v>
      </c>
      <c r="L375" s="2" t="s">
        <v>1246</v>
      </c>
      <c r="O375" t="s">
        <v>72</v>
      </c>
      <c r="P375" s="2">
        <v>553259833</v>
      </c>
      <c r="R375" s="2">
        <v>16500</v>
      </c>
      <c r="S375" s="4">
        <f t="shared" si="10"/>
        <v>33000</v>
      </c>
      <c r="T375" s="4">
        <v>-97</v>
      </c>
      <c r="U375" s="4">
        <f t="shared" si="11"/>
        <v>990</v>
      </c>
      <c r="V375" s="5">
        <v>0.667</v>
      </c>
      <c r="W375" s="5">
        <v>0.615</v>
      </c>
      <c r="AU375" s="3" t="s">
        <v>73</v>
      </c>
      <c r="AW375" s="2" t="s">
        <v>74</v>
      </c>
      <c r="AZ375" t="s">
        <v>1247</v>
      </c>
      <c r="BB375" s="7" t="str">
        <f>HYPERLINK("https://v360.in/diamondview.aspx?cid=preet&amp;d=HN-128-28","https://v360.in/diamondview.aspx?cid=preet&amp;d=HN-128-28")</f>
        <v>https://v360.in/diamondview.aspx?cid=preet&amp;d=HN-128-28</v>
      </c>
    </row>
    <row r="376" ht="15.75" spans="1:54">
      <c r="A376" s="2" t="s">
        <v>1248</v>
      </c>
      <c r="B376" s="3" t="s">
        <v>63</v>
      </c>
      <c r="C376" s="2" t="s">
        <v>1152</v>
      </c>
      <c r="D376" s="2">
        <v>2</v>
      </c>
      <c r="E376" s="2" t="s">
        <v>65</v>
      </c>
      <c r="F376" s="2" t="s">
        <v>143</v>
      </c>
      <c r="G376" s="2" t="s">
        <v>67</v>
      </c>
      <c r="H376" s="2" t="s">
        <v>68</v>
      </c>
      <c r="I376" s="2" t="s">
        <v>68</v>
      </c>
      <c r="J376" s="2" t="s">
        <v>70</v>
      </c>
      <c r="L376" s="2" t="s">
        <v>1249</v>
      </c>
      <c r="O376" t="s">
        <v>72</v>
      </c>
      <c r="P376" s="2">
        <v>571301004</v>
      </c>
      <c r="R376" s="2">
        <v>18000</v>
      </c>
      <c r="S376" s="4">
        <f t="shared" si="10"/>
        <v>36000</v>
      </c>
      <c r="T376" s="4">
        <v>-97</v>
      </c>
      <c r="U376" s="4">
        <f t="shared" si="11"/>
        <v>1080</v>
      </c>
      <c r="V376" s="5">
        <v>0.667</v>
      </c>
      <c r="W376" s="6">
        <v>0.57</v>
      </c>
      <c r="AU376" s="3" t="s">
        <v>73</v>
      </c>
      <c r="AW376" s="2" t="s">
        <v>93</v>
      </c>
      <c r="AZ376" t="s">
        <v>1250</v>
      </c>
      <c r="BB376" s="7" t="s">
        <v>1251</v>
      </c>
    </row>
    <row r="377" ht="15.75" spans="1:54">
      <c r="A377" s="2" t="s">
        <v>1252</v>
      </c>
      <c r="B377" s="3" t="s">
        <v>63</v>
      </c>
      <c r="C377" s="2" t="s">
        <v>1152</v>
      </c>
      <c r="D377" s="2">
        <v>2</v>
      </c>
      <c r="E377" s="2" t="s">
        <v>65</v>
      </c>
      <c r="F377" s="2" t="s">
        <v>155</v>
      </c>
      <c r="G377" s="2" t="s">
        <v>67</v>
      </c>
      <c r="H377" s="2" t="s">
        <v>68</v>
      </c>
      <c r="I377" s="2" t="s">
        <v>68</v>
      </c>
      <c r="J377" s="2" t="s">
        <v>70</v>
      </c>
      <c r="L377" s="2" t="s">
        <v>1253</v>
      </c>
      <c r="O377" t="s">
        <v>72</v>
      </c>
      <c r="P377" s="2">
        <v>559298577</v>
      </c>
      <c r="R377" s="2">
        <v>13200</v>
      </c>
      <c r="S377" s="4">
        <f t="shared" si="10"/>
        <v>26400</v>
      </c>
      <c r="T377" s="4">
        <v>-97</v>
      </c>
      <c r="U377" s="4">
        <f t="shared" si="11"/>
        <v>792</v>
      </c>
      <c r="V377" s="5">
        <v>0.687</v>
      </c>
      <c r="W377" s="2">
        <v>67</v>
      </c>
      <c r="AU377" s="3" t="s">
        <v>73</v>
      </c>
      <c r="AW377" s="2" t="s">
        <v>74</v>
      </c>
      <c r="AZ377" t="s">
        <v>1254</v>
      </c>
      <c r="BB377" s="7" t="str">
        <f>HYPERLINK("https://v360.in/diamondview.aspx?cid=preet&amp;d=HN-129-20","https://v360.in/diamondview.aspx?cid=preet&amp;d=HN-129-20")</f>
        <v>https://v360.in/diamondview.aspx?cid=preet&amp;d=HN-129-20</v>
      </c>
    </row>
    <row r="378" ht="15.75" spans="1:54">
      <c r="A378" s="2" t="s">
        <v>1255</v>
      </c>
      <c r="B378" s="3" t="s">
        <v>63</v>
      </c>
      <c r="C378" s="2" t="s">
        <v>1152</v>
      </c>
      <c r="D378" s="2">
        <v>2</v>
      </c>
      <c r="E378" s="2" t="s">
        <v>81</v>
      </c>
      <c r="F378" s="2" t="s">
        <v>314</v>
      </c>
      <c r="G378" s="2" t="s">
        <v>67</v>
      </c>
      <c r="H378" s="2" t="s">
        <v>68</v>
      </c>
      <c r="I378" s="2" t="s">
        <v>69</v>
      </c>
      <c r="J378" s="2" t="s">
        <v>70</v>
      </c>
      <c r="L378" s="2" t="s">
        <v>1256</v>
      </c>
      <c r="O378" t="s">
        <v>72</v>
      </c>
      <c r="P378" s="2">
        <v>526286730</v>
      </c>
      <c r="R378" s="2">
        <v>9600</v>
      </c>
      <c r="S378" s="4">
        <f t="shared" si="10"/>
        <v>19200</v>
      </c>
      <c r="T378" s="4">
        <v>-97</v>
      </c>
      <c r="U378" s="4">
        <f t="shared" si="11"/>
        <v>576</v>
      </c>
      <c r="V378" s="5">
        <v>0.611</v>
      </c>
      <c r="W378" s="6">
        <v>0.69</v>
      </c>
      <c r="AU378" s="3" t="s">
        <v>73</v>
      </c>
      <c r="AW378" s="2" t="s">
        <v>74</v>
      </c>
      <c r="AZ378" t="s">
        <v>1257</v>
      </c>
      <c r="BB378" s="7" t="str">
        <f>HYPERLINK("","")</f>
        <v/>
      </c>
    </row>
    <row r="379" ht="15.75" spans="1:54">
      <c r="A379" s="2" t="s">
        <v>1258</v>
      </c>
      <c r="B379" s="3" t="s">
        <v>63</v>
      </c>
      <c r="C379" s="2" t="s">
        <v>1152</v>
      </c>
      <c r="D379" s="2">
        <v>1.91</v>
      </c>
      <c r="E379" s="2" t="s">
        <v>63</v>
      </c>
      <c r="F379" s="2" t="s">
        <v>66</v>
      </c>
      <c r="G379" s="2" t="s">
        <v>67</v>
      </c>
      <c r="H379" s="2" t="s">
        <v>68</v>
      </c>
      <c r="I379" s="2" t="s">
        <v>68</v>
      </c>
      <c r="J379" s="2" t="s">
        <v>70</v>
      </c>
      <c r="L379" s="2" t="s">
        <v>1259</v>
      </c>
      <c r="O379" t="s">
        <v>72</v>
      </c>
      <c r="P379" s="2">
        <v>571307671</v>
      </c>
      <c r="R379" s="2">
        <v>10400</v>
      </c>
      <c r="S379" s="4">
        <f t="shared" si="10"/>
        <v>19864</v>
      </c>
      <c r="T379" s="4">
        <v>-97</v>
      </c>
      <c r="U379" s="4">
        <f t="shared" si="11"/>
        <v>595.92</v>
      </c>
      <c r="V379" s="5">
        <v>0.691</v>
      </c>
      <c r="W379" s="6">
        <v>0.62</v>
      </c>
      <c r="AU379" s="3" t="s">
        <v>73</v>
      </c>
      <c r="AW379" s="2" t="s">
        <v>93</v>
      </c>
      <c r="AZ379" t="s">
        <v>1260</v>
      </c>
      <c r="BB379" s="7" t="s">
        <v>1261</v>
      </c>
    </row>
    <row r="380" ht="15.75" spans="1:54">
      <c r="A380" s="2" t="s">
        <v>1262</v>
      </c>
      <c r="B380" s="3" t="s">
        <v>63</v>
      </c>
      <c r="C380" s="2" t="s">
        <v>1152</v>
      </c>
      <c r="D380" s="2">
        <v>1.8</v>
      </c>
      <c r="E380" s="2" t="s">
        <v>65</v>
      </c>
      <c r="F380" s="2" t="s">
        <v>66</v>
      </c>
      <c r="G380" s="2" t="s">
        <v>67</v>
      </c>
      <c r="H380" s="2" t="s">
        <v>68</v>
      </c>
      <c r="I380" s="2" t="s">
        <v>68</v>
      </c>
      <c r="J380" s="2" t="s">
        <v>70</v>
      </c>
      <c r="L380" s="2" t="s">
        <v>1263</v>
      </c>
      <c r="O380" t="s">
        <v>72</v>
      </c>
      <c r="P380" s="2">
        <v>570370810</v>
      </c>
      <c r="R380" s="2">
        <v>11200</v>
      </c>
      <c r="S380" s="4">
        <f t="shared" si="10"/>
        <v>20160</v>
      </c>
      <c r="T380" s="4">
        <v>-97</v>
      </c>
      <c r="U380" s="4">
        <f t="shared" si="11"/>
        <v>604.8</v>
      </c>
      <c r="V380" s="5">
        <v>0.677</v>
      </c>
      <c r="W380" s="6">
        <v>0.64</v>
      </c>
      <c r="AU380" s="3" t="s">
        <v>73</v>
      </c>
      <c r="AW380" s="2" t="s">
        <v>93</v>
      </c>
      <c r="AZ380" t="s">
        <v>1264</v>
      </c>
      <c r="BB380" s="7" t="str">
        <f>HYPERLINK("https://v360.in/diamondview.aspx?cid=preet&amp;d=HN-149-10","https://v360.in/diamondview.aspx?cid=preet&amp;d=HN-149-10")</f>
        <v>https://v360.in/diamondview.aspx?cid=preet&amp;d=HN-149-10</v>
      </c>
    </row>
    <row r="381" ht="15.75" spans="1:54">
      <c r="A381" s="2" t="s">
        <v>1265</v>
      </c>
      <c r="B381" s="3" t="s">
        <v>63</v>
      </c>
      <c r="C381" s="2" t="s">
        <v>1152</v>
      </c>
      <c r="D381" s="2">
        <v>1.8</v>
      </c>
      <c r="E381" s="2" t="s">
        <v>63</v>
      </c>
      <c r="F381" s="2" t="s">
        <v>91</v>
      </c>
      <c r="G381" s="2" t="s">
        <v>67</v>
      </c>
      <c r="H381" s="2" t="s">
        <v>68</v>
      </c>
      <c r="I381" s="2" t="s">
        <v>68</v>
      </c>
      <c r="J381" s="2" t="s">
        <v>70</v>
      </c>
      <c r="L381" s="2" t="s">
        <v>1266</v>
      </c>
      <c r="O381" t="s">
        <v>72</v>
      </c>
      <c r="P381" s="2">
        <v>570370819</v>
      </c>
      <c r="R381" s="2">
        <v>11200</v>
      </c>
      <c r="S381" s="4">
        <f t="shared" si="10"/>
        <v>20160</v>
      </c>
      <c r="T381" s="4">
        <v>-97</v>
      </c>
      <c r="U381" s="4">
        <f t="shared" si="11"/>
        <v>604.8</v>
      </c>
      <c r="V381" s="5">
        <v>0.693</v>
      </c>
      <c r="W381" s="6">
        <v>0.63</v>
      </c>
      <c r="AU381" s="3" t="s">
        <v>73</v>
      </c>
      <c r="AW381" s="2" t="s">
        <v>93</v>
      </c>
      <c r="AZ381" t="s">
        <v>1267</v>
      </c>
      <c r="BB381" s="7" t="str">
        <f>HYPERLINK("https://v360.in/diamondview.aspx?cid=preet&amp;d=HN-149-11","https://v360.in/diamondview.aspx?cid=preet&amp;d=HN-149-11")</f>
        <v>https://v360.in/diamondview.aspx?cid=preet&amp;d=HN-149-11</v>
      </c>
    </row>
    <row r="382" ht="15.75" spans="1:54">
      <c r="A382" s="2" t="s">
        <v>1268</v>
      </c>
      <c r="B382" s="3" t="s">
        <v>63</v>
      </c>
      <c r="C382" s="2" t="s">
        <v>1152</v>
      </c>
      <c r="D382" s="2">
        <v>1.77</v>
      </c>
      <c r="E382" s="2" t="s">
        <v>65</v>
      </c>
      <c r="F382" s="2" t="s">
        <v>91</v>
      </c>
      <c r="G382" s="2" t="s">
        <v>67</v>
      </c>
      <c r="H382" s="2" t="s">
        <v>68</v>
      </c>
      <c r="I382" s="2" t="s">
        <v>68</v>
      </c>
      <c r="J382" s="2" t="s">
        <v>70</v>
      </c>
      <c r="L382" s="2" t="s">
        <v>1269</v>
      </c>
      <c r="O382" t="s">
        <v>72</v>
      </c>
      <c r="P382" s="2">
        <v>553219374</v>
      </c>
      <c r="R382" s="2">
        <v>12200</v>
      </c>
      <c r="S382" s="4">
        <f t="shared" si="10"/>
        <v>21594</v>
      </c>
      <c r="T382" s="4">
        <v>-97</v>
      </c>
      <c r="U382" s="4">
        <f t="shared" si="11"/>
        <v>647.82</v>
      </c>
      <c r="V382" s="5">
        <v>0.651</v>
      </c>
      <c r="W382" s="6">
        <v>0.67</v>
      </c>
      <c r="AU382" s="3" t="s">
        <v>73</v>
      </c>
      <c r="AW382" s="2" t="s">
        <v>74</v>
      </c>
      <c r="AZ382" t="s">
        <v>1270</v>
      </c>
      <c r="BB382" s="7" t="str">
        <f>HYPERLINK("https://v360.in/diamondview.aspx?cid=preet&amp;d=HN-128-27","https://v360.in/diamondview.aspx?cid=preet&amp;d=HN-128-27")</f>
        <v>https://v360.in/diamondview.aspx?cid=preet&amp;d=HN-128-27</v>
      </c>
    </row>
    <row r="383" ht="15.75" spans="1:54">
      <c r="A383" s="2" t="s">
        <v>1271</v>
      </c>
      <c r="B383" s="3" t="s">
        <v>63</v>
      </c>
      <c r="C383" s="2" t="s">
        <v>1152</v>
      </c>
      <c r="D383" s="2">
        <v>1.73</v>
      </c>
      <c r="E383" s="2" t="s">
        <v>63</v>
      </c>
      <c r="F383" s="2" t="s">
        <v>66</v>
      </c>
      <c r="G383" s="2" t="s">
        <v>67</v>
      </c>
      <c r="H383" s="2" t="s">
        <v>68</v>
      </c>
      <c r="I383" s="2" t="s">
        <v>68</v>
      </c>
      <c r="J383" s="2" t="s">
        <v>70</v>
      </c>
      <c r="L383" s="2" t="s">
        <v>1272</v>
      </c>
      <c r="O383" t="s">
        <v>72</v>
      </c>
      <c r="P383" s="2">
        <v>570376198</v>
      </c>
      <c r="R383" s="2">
        <v>10400</v>
      </c>
      <c r="S383" s="4">
        <f t="shared" si="10"/>
        <v>17992</v>
      </c>
      <c r="T383" s="4">
        <v>-97</v>
      </c>
      <c r="U383" s="4">
        <f t="shared" si="11"/>
        <v>539.76</v>
      </c>
      <c r="V383" s="6">
        <v>0.65</v>
      </c>
      <c r="W383" s="5">
        <v>0.645</v>
      </c>
      <c r="AU383" s="3" t="s">
        <v>73</v>
      </c>
      <c r="AW383" s="2" t="s">
        <v>93</v>
      </c>
      <c r="AZ383" t="s">
        <v>1273</v>
      </c>
      <c r="BB383" s="7" t="str">
        <f>HYPERLINK("https://v360.in/diamondview.aspx?cid=preet&amp;d=HN-148-13","https://v360.in/diamondview.aspx?cid=preet&amp;d=HN-148-13")</f>
        <v>https://v360.in/diamondview.aspx?cid=preet&amp;d=HN-148-13</v>
      </c>
    </row>
    <row r="384" ht="15.75" spans="1:54">
      <c r="A384" s="2" t="s">
        <v>1274</v>
      </c>
      <c r="B384" s="3" t="s">
        <v>63</v>
      </c>
      <c r="C384" s="2" t="s">
        <v>1152</v>
      </c>
      <c r="D384" s="2">
        <v>1.72</v>
      </c>
      <c r="E384" s="2" t="s">
        <v>65</v>
      </c>
      <c r="F384" s="2" t="s">
        <v>155</v>
      </c>
      <c r="G384" s="2" t="s">
        <v>67</v>
      </c>
      <c r="H384" s="2" t="s">
        <v>68</v>
      </c>
      <c r="I384" s="2" t="s">
        <v>68</v>
      </c>
      <c r="J384" s="2" t="s">
        <v>70</v>
      </c>
      <c r="L384" s="2" t="s">
        <v>1275</v>
      </c>
      <c r="O384" t="s">
        <v>72</v>
      </c>
      <c r="P384" s="2">
        <v>560231277</v>
      </c>
      <c r="R384" s="2">
        <v>9900</v>
      </c>
      <c r="S384" s="4">
        <f t="shared" si="10"/>
        <v>17028</v>
      </c>
      <c r="T384" s="4">
        <v>-97</v>
      </c>
      <c r="U384" s="4">
        <f t="shared" si="11"/>
        <v>510.84</v>
      </c>
      <c r="V384" s="5">
        <v>0.721</v>
      </c>
      <c r="W384" s="5">
        <v>0.625</v>
      </c>
      <c r="AU384" s="3" t="s">
        <v>73</v>
      </c>
      <c r="AW384" s="2" t="s">
        <v>74</v>
      </c>
      <c r="AZ384" t="s">
        <v>1276</v>
      </c>
      <c r="BB384" s="7" t="str">
        <f>HYPERLINK("https://v360.in/diamondview.aspx?cid=preet&amp;d=HN-130-26","https://v360.in/diamondview.aspx?cid=preet&amp;d=HN-130-26")</f>
        <v>https://v360.in/diamondview.aspx?cid=preet&amp;d=HN-130-26</v>
      </c>
    </row>
    <row r="385" ht="15.75" spans="1:54">
      <c r="A385" s="2" t="s">
        <v>1277</v>
      </c>
      <c r="B385" s="3" t="s">
        <v>63</v>
      </c>
      <c r="C385" s="2" t="s">
        <v>1152</v>
      </c>
      <c r="D385" s="2">
        <v>1.71</v>
      </c>
      <c r="E385" s="2" t="s">
        <v>119</v>
      </c>
      <c r="F385" s="2" t="s">
        <v>155</v>
      </c>
      <c r="G385" s="2" t="s">
        <v>67</v>
      </c>
      <c r="H385" s="2" t="s">
        <v>68</v>
      </c>
      <c r="I385" s="2" t="s">
        <v>68</v>
      </c>
      <c r="J385" s="2" t="s">
        <v>70</v>
      </c>
      <c r="L385" s="2" t="s">
        <v>1278</v>
      </c>
      <c r="O385" t="s">
        <v>72</v>
      </c>
      <c r="P385" s="2">
        <v>553259840</v>
      </c>
      <c r="R385" s="2">
        <v>10500</v>
      </c>
      <c r="S385" s="4">
        <f t="shared" si="10"/>
        <v>17955</v>
      </c>
      <c r="T385" s="4">
        <v>-97</v>
      </c>
      <c r="U385" s="4">
        <f t="shared" si="11"/>
        <v>538.65</v>
      </c>
      <c r="V385" s="5">
        <v>0.665</v>
      </c>
      <c r="W385" s="5">
        <v>0.625</v>
      </c>
      <c r="AU385" s="3" t="s">
        <v>73</v>
      </c>
      <c r="AW385" s="2" t="s">
        <v>74</v>
      </c>
      <c r="AZ385" t="s">
        <v>1279</v>
      </c>
      <c r="BB385" s="7" t="str">
        <f>HYPERLINK("https://v360.in/diamondview.aspx?cid=preet&amp;d=HN-128-24","https://v360.in/diamondview.aspx?cid=preet&amp;d=HN-128-24")</f>
        <v>https://v360.in/diamondview.aspx?cid=preet&amp;d=HN-128-24</v>
      </c>
    </row>
    <row r="386" ht="15.75" spans="1:54">
      <c r="A386" s="2" t="s">
        <v>1280</v>
      </c>
      <c r="B386" s="3" t="s">
        <v>63</v>
      </c>
      <c r="C386" s="2" t="s">
        <v>1152</v>
      </c>
      <c r="D386" s="2">
        <v>1.71</v>
      </c>
      <c r="E386" s="2" t="s">
        <v>65</v>
      </c>
      <c r="F386" s="2" t="s">
        <v>66</v>
      </c>
      <c r="G386" s="2" t="s">
        <v>67</v>
      </c>
      <c r="H386" s="2" t="s">
        <v>68</v>
      </c>
      <c r="I386" s="2" t="s">
        <v>68</v>
      </c>
      <c r="J386" s="2" t="s">
        <v>70</v>
      </c>
      <c r="L386" s="2" t="s">
        <v>1281</v>
      </c>
      <c r="O386" t="s">
        <v>72</v>
      </c>
      <c r="P386" s="2">
        <v>559298576</v>
      </c>
      <c r="R386" s="2">
        <v>11200</v>
      </c>
      <c r="S386" s="4">
        <f t="shared" si="10"/>
        <v>19152</v>
      </c>
      <c r="T386" s="4">
        <v>-97</v>
      </c>
      <c r="U386" s="4">
        <f t="shared" si="11"/>
        <v>574.56</v>
      </c>
      <c r="V386" s="2">
        <v>68</v>
      </c>
      <c r="W386" s="2">
        <v>67</v>
      </c>
      <c r="AU386" s="3" t="s">
        <v>73</v>
      </c>
      <c r="AW386" s="2" t="s">
        <v>74</v>
      </c>
      <c r="AZ386" t="s">
        <v>1282</v>
      </c>
      <c r="BB386" s="7" t="str">
        <f>HYPERLINK("https://v360.in/diamondview.aspx?cid=preet&amp;d=HN-129-24","https://v360.in/diamondview.aspx?cid=preet&amp;d=HN-129-24")</f>
        <v>https://v360.in/diamondview.aspx?cid=preet&amp;d=HN-129-24</v>
      </c>
    </row>
    <row r="387" ht="15.75" spans="1:54">
      <c r="A387" s="2" t="s">
        <v>1283</v>
      </c>
      <c r="B387" s="3" t="s">
        <v>63</v>
      </c>
      <c r="C387" s="2" t="s">
        <v>1152</v>
      </c>
      <c r="D387" s="2">
        <v>1.71</v>
      </c>
      <c r="E387" s="2" t="s">
        <v>65</v>
      </c>
      <c r="F387" s="2" t="s">
        <v>66</v>
      </c>
      <c r="G387" s="2" t="s">
        <v>67</v>
      </c>
      <c r="H387" s="2" t="s">
        <v>68</v>
      </c>
      <c r="I387" s="2" t="s">
        <v>68</v>
      </c>
      <c r="J387" s="2" t="s">
        <v>70</v>
      </c>
      <c r="L387" s="2" t="s">
        <v>1284</v>
      </c>
      <c r="O387" t="s">
        <v>72</v>
      </c>
      <c r="P387" s="2">
        <v>561259406</v>
      </c>
      <c r="R387" s="2">
        <v>11200</v>
      </c>
      <c r="S387" s="4">
        <f t="shared" ref="S387:S450" si="12">R387*D387</f>
        <v>19152</v>
      </c>
      <c r="T387" s="4">
        <v>-97</v>
      </c>
      <c r="U387" s="4">
        <f t="shared" ref="U387:U450" si="13">(R387+(R387*T387)/100)*D387</f>
        <v>574.56</v>
      </c>
      <c r="V387" s="2">
        <v>69</v>
      </c>
      <c r="W387" s="2">
        <v>64</v>
      </c>
      <c r="AU387" s="3" t="s">
        <v>73</v>
      </c>
      <c r="AW387" s="2" t="s">
        <v>74</v>
      </c>
      <c r="AZ387" t="s">
        <v>1285</v>
      </c>
      <c r="BB387" s="7" t="str">
        <f>HYPERLINK("https://v360.in/diamondview.aspx?cid=preet&amp;d=HN-130-39","https://v360.in/diamondview.aspx?cid=preet&amp;d=HN-130-39")</f>
        <v>https://v360.in/diamondview.aspx?cid=preet&amp;d=HN-130-39</v>
      </c>
    </row>
    <row r="388" ht="15.75" spans="1:54">
      <c r="A388" s="2" t="s">
        <v>1286</v>
      </c>
      <c r="B388" s="3" t="s">
        <v>63</v>
      </c>
      <c r="C388" s="2" t="s">
        <v>1152</v>
      </c>
      <c r="D388" s="2">
        <v>1.7</v>
      </c>
      <c r="E388" s="2" t="s">
        <v>63</v>
      </c>
      <c r="F388" s="2" t="s">
        <v>66</v>
      </c>
      <c r="G388" s="2" t="s">
        <v>67</v>
      </c>
      <c r="H388" s="2" t="s">
        <v>68</v>
      </c>
      <c r="I388" s="2" t="s">
        <v>68</v>
      </c>
      <c r="J388" s="2" t="s">
        <v>70</v>
      </c>
      <c r="L388" s="2" t="s">
        <v>1287</v>
      </c>
      <c r="O388" t="s">
        <v>72</v>
      </c>
      <c r="P388" s="2">
        <v>570370818</v>
      </c>
      <c r="R388" s="2">
        <v>10400</v>
      </c>
      <c r="S388" s="4">
        <f t="shared" si="12"/>
        <v>17680</v>
      </c>
      <c r="T388" s="4">
        <v>-97</v>
      </c>
      <c r="U388" s="4">
        <f t="shared" si="13"/>
        <v>530.4</v>
      </c>
      <c r="V388" s="5">
        <v>0.635</v>
      </c>
      <c r="W388" s="5">
        <v>0.625</v>
      </c>
      <c r="AU388" s="3" t="s">
        <v>73</v>
      </c>
      <c r="AW388" s="2" t="s">
        <v>93</v>
      </c>
      <c r="AZ388" t="s">
        <v>1288</v>
      </c>
      <c r="BB388" s="7" t="str">
        <f>HYPERLINK("https://v360.in/diamondview.aspx?cid=preet&amp;d=HN-149-7","https://v360.in/diamondview.aspx?cid=preet&amp;d=HN-149-7")</f>
        <v>https://v360.in/diamondview.aspx?cid=preet&amp;d=HN-149-7</v>
      </c>
    </row>
    <row r="389" ht="15.75" spans="1:54">
      <c r="A389" s="2" t="s">
        <v>1289</v>
      </c>
      <c r="B389" s="3" t="s">
        <v>63</v>
      </c>
      <c r="C389" s="2" t="s">
        <v>1152</v>
      </c>
      <c r="D389" s="2">
        <v>1.7</v>
      </c>
      <c r="E389" s="2" t="s">
        <v>63</v>
      </c>
      <c r="F389" s="2" t="s">
        <v>91</v>
      </c>
      <c r="G389" s="2" t="s">
        <v>67</v>
      </c>
      <c r="H389" s="2" t="s">
        <v>68</v>
      </c>
      <c r="I389" s="2" t="s">
        <v>68</v>
      </c>
      <c r="J389" s="2" t="s">
        <v>70</v>
      </c>
      <c r="L389" s="2" t="s">
        <v>1290</v>
      </c>
      <c r="O389" t="s">
        <v>72</v>
      </c>
      <c r="P389" s="2">
        <v>570370809</v>
      </c>
      <c r="R389" s="2">
        <v>11200</v>
      </c>
      <c r="S389" s="4">
        <f t="shared" si="12"/>
        <v>19040</v>
      </c>
      <c r="T389" s="4">
        <v>-97</v>
      </c>
      <c r="U389" s="4">
        <f t="shared" si="13"/>
        <v>571.2</v>
      </c>
      <c r="V389" s="5">
        <v>0.634</v>
      </c>
      <c r="W389" s="6">
        <v>0.65</v>
      </c>
      <c r="AU389" s="3" t="s">
        <v>73</v>
      </c>
      <c r="AW389" s="2" t="s">
        <v>93</v>
      </c>
      <c r="AZ389" t="s">
        <v>1291</v>
      </c>
      <c r="BB389" s="7" t="str">
        <f>HYPERLINK("https://v360.in/diamondview.aspx?cid=preet&amp;d=HN-149-8","https://v360.in/diamondview.aspx?cid=preet&amp;d=HN-149-8")</f>
        <v>https://v360.in/diamondview.aspx?cid=preet&amp;d=HN-149-8</v>
      </c>
    </row>
    <row r="390" ht="15.75" spans="1:54">
      <c r="A390" s="2" t="s">
        <v>1292</v>
      </c>
      <c r="B390" s="3" t="s">
        <v>63</v>
      </c>
      <c r="C390" s="2" t="s">
        <v>1152</v>
      </c>
      <c r="D390" s="2">
        <v>1.63</v>
      </c>
      <c r="E390" s="2" t="s">
        <v>119</v>
      </c>
      <c r="F390" s="2" t="s">
        <v>66</v>
      </c>
      <c r="G390" s="2" t="s">
        <v>67</v>
      </c>
      <c r="H390" s="2" t="s">
        <v>68</v>
      </c>
      <c r="I390" s="2" t="s">
        <v>68</v>
      </c>
      <c r="J390" s="2" t="s">
        <v>70</v>
      </c>
      <c r="L390" s="2" t="s">
        <v>1293</v>
      </c>
      <c r="O390" t="s">
        <v>72</v>
      </c>
      <c r="P390" s="2">
        <v>560231279</v>
      </c>
      <c r="R390" s="2">
        <v>11800</v>
      </c>
      <c r="S390" s="4">
        <f t="shared" si="12"/>
        <v>19234</v>
      </c>
      <c r="T390" s="4">
        <v>-97</v>
      </c>
      <c r="U390" s="4">
        <f t="shared" si="13"/>
        <v>577.02</v>
      </c>
      <c r="V390" s="5">
        <v>0.696</v>
      </c>
      <c r="W390" s="2">
        <v>68</v>
      </c>
      <c r="AU390" s="3" t="s">
        <v>73</v>
      </c>
      <c r="AW390" s="2" t="s">
        <v>74</v>
      </c>
      <c r="AZ390" t="s">
        <v>1294</v>
      </c>
      <c r="BB390" s="7" t="str">
        <f>HYPERLINK("https://v360.in/diamondview.aspx?cid=preet&amp;d=HN-129-29","https://v360.in/diamondview.aspx?cid=preet&amp;d=HN-129-29")</f>
        <v>https://v360.in/diamondview.aspx?cid=preet&amp;d=HN-129-29</v>
      </c>
    </row>
    <row r="391" ht="15.75" spans="1:54">
      <c r="A391" s="2" t="s">
        <v>1295</v>
      </c>
      <c r="B391" s="3" t="s">
        <v>63</v>
      </c>
      <c r="C391" s="2" t="s">
        <v>1152</v>
      </c>
      <c r="D391" s="2">
        <v>1.6</v>
      </c>
      <c r="E391" s="2" t="s">
        <v>65</v>
      </c>
      <c r="F391" s="2" t="s">
        <v>91</v>
      </c>
      <c r="G391" s="2" t="s">
        <v>67</v>
      </c>
      <c r="H391" s="2" t="s">
        <v>68</v>
      </c>
      <c r="I391" s="2" t="s">
        <v>68</v>
      </c>
      <c r="J391" s="2" t="s">
        <v>70</v>
      </c>
      <c r="L391" s="2" t="s">
        <v>1296</v>
      </c>
      <c r="O391" t="s">
        <v>72</v>
      </c>
      <c r="P391" s="2">
        <v>570370816</v>
      </c>
      <c r="R391" s="2">
        <v>12200</v>
      </c>
      <c r="S391" s="4">
        <f t="shared" si="12"/>
        <v>19520</v>
      </c>
      <c r="T391" s="4">
        <v>-97</v>
      </c>
      <c r="U391" s="4">
        <f t="shared" si="13"/>
        <v>585.6</v>
      </c>
      <c r="V391" s="5">
        <v>0.646</v>
      </c>
      <c r="W391" s="5">
        <v>0.655</v>
      </c>
      <c r="AU391" s="3" t="s">
        <v>73</v>
      </c>
      <c r="AW391" s="2" t="s">
        <v>93</v>
      </c>
      <c r="AZ391" t="s">
        <v>1297</v>
      </c>
      <c r="BB391" s="7" t="str">
        <f>HYPERLINK("https://v360.in/diamondview.aspx?cid=preet&amp;d=HN-149-6","https://v360.in/diamondview.aspx?cid=preet&amp;d=HN-149-6")</f>
        <v>https://v360.in/diamondview.aspx?cid=preet&amp;d=HN-149-6</v>
      </c>
    </row>
    <row r="392" ht="15.75" spans="1:54">
      <c r="A392" s="2" t="s">
        <v>1298</v>
      </c>
      <c r="B392" s="3" t="s">
        <v>63</v>
      </c>
      <c r="C392" s="2" t="s">
        <v>1152</v>
      </c>
      <c r="D392" s="2">
        <v>1.55</v>
      </c>
      <c r="E392" s="2" t="s">
        <v>63</v>
      </c>
      <c r="F392" s="2" t="s">
        <v>155</v>
      </c>
      <c r="G392" s="2" t="s">
        <v>67</v>
      </c>
      <c r="H392" s="2" t="s">
        <v>69</v>
      </c>
      <c r="I392" s="2" t="s">
        <v>68</v>
      </c>
      <c r="J392" s="2" t="s">
        <v>70</v>
      </c>
      <c r="L392" s="2" t="s">
        <v>1299</v>
      </c>
      <c r="O392" t="s">
        <v>72</v>
      </c>
      <c r="P392" s="2">
        <v>464109431</v>
      </c>
      <c r="R392" s="2">
        <v>9200</v>
      </c>
      <c r="S392" s="4">
        <f t="shared" si="12"/>
        <v>14260</v>
      </c>
      <c r="T392" s="4">
        <v>-97</v>
      </c>
      <c r="U392" s="4">
        <f t="shared" si="13"/>
        <v>427.8</v>
      </c>
      <c r="V392" s="5">
        <v>0.614</v>
      </c>
      <c r="W392" s="6">
        <v>0.68</v>
      </c>
      <c r="AU392" s="3" t="s">
        <v>73</v>
      </c>
      <c r="AW392" s="2" t="s">
        <v>74</v>
      </c>
      <c r="AZ392" t="s">
        <v>1300</v>
      </c>
      <c r="BB392" s="7" t="str">
        <f>HYPERLINK("http://view.gem360.in/gem360/0605210623-HN-2-33/gem360-0605210623-HN-2-33.html","http://view.gem360.in/gem360/0605210623-HN-2-33/gem360-0605210623-HN-2-33.html")</f>
        <v>http://view.gem360.in/gem360/0605210623-HN-2-33/gem360-0605210623-HN-2-33.html</v>
      </c>
    </row>
    <row r="393" ht="15.75" spans="1:54">
      <c r="A393" s="2" t="s">
        <v>1301</v>
      </c>
      <c r="B393" s="3" t="s">
        <v>63</v>
      </c>
      <c r="C393" s="2" t="s">
        <v>1152</v>
      </c>
      <c r="D393" s="2">
        <v>1.53</v>
      </c>
      <c r="E393" s="2" t="s">
        <v>65</v>
      </c>
      <c r="F393" s="2" t="s">
        <v>91</v>
      </c>
      <c r="G393" s="2" t="s">
        <v>67</v>
      </c>
      <c r="H393" s="2" t="s">
        <v>68</v>
      </c>
      <c r="I393" s="2" t="s">
        <v>68</v>
      </c>
      <c r="J393" s="2" t="s">
        <v>70</v>
      </c>
      <c r="L393" s="2" t="s">
        <v>1302</v>
      </c>
      <c r="O393" t="s">
        <v>72</v>
      </c>
      <c r="P393" s="2">
        <v>559298602</v>
      </c>
      <c r="R393" s="2">
        <v>12200</v>
      </c>
      <c r="S393" s="4">
        <f t="shared" si="12"/>
        <v>18666</v>
      </c>
      <c r="T393" s="4">
        <v>-97</v>
      </c>
      <c r="U393" s="4">
        <f t="shared" si="13"/>
        <v>559.98</v>
      </c>
      <c r="V393" s="5">
        <v>0.679</v>
      </c>
      <c r="W393" s="2">
        <v>61</v>
      </c>
      <c r="AU393" s="3" t="s">
        <v>73</v>
      </c>
      <c r="AW393" s="2" t="s">
        <v>74</v>
      </c>
      <c r="AZ393" t="s">
        <v>1303</v>
      </c>
      <c r="BB393" s="7" t="str">
        <f>HYPERLINK("https://v360.in/diamondview.aspx?cid=preet&amp;d=HN-129-41","https://v360.in/diamondview.aspx?cid=preet&amp;d=HN-129-41")</f>
        <v>https://v360.in/diamondview.aspx?cid=preet&amp;d=HN-129-41</v>
      </c>
    </row>
    <row r="394" ht="15.75" spans="1:54">
      <c r="A394" s="2" t="s">
        <v>1304</v>
      </c>
      <c r="B394" s="3" t="s">
        <v>63</v>
      </c>
      <c r="C394" s="2" t="s">
        <v>1152</v>
      </c>
      <c r="D394" s="2">
        <v>1.53</v>
      </c>
      <c r="E394" s="2" t="s">
        <v>63</v>
      </c>
      <c r="F394" s="2" t="s">
        <v>66</v>
      </c>
      <c r="G394" s="2" t="s">
        <v>67</v>
      </c>
      <c r="H394" s="2" t="s">
        <v>68</v>
      </c>
      <c r="I394" s="2" t="s">
        <v>68</v>
      </c>
      <c r="J394" s="2" t="s">
        <v>70</v>
      </c>
      <c r="L394" s="2" t="s">
        <v>1305</v>
      </c>
      <c r="O394" t="s">
        <v>72</v>
      </c>
      <c r="P394" s="2">
        <v>559298581</v>
      </c>
      <c r="R394" s="2">
        <v>10400</v>
      </c>
      <c r="S394" s="4">
        <f t="shared" si="12"/>
        <v>15912</v>
      </c>
      <c r="T394" s="4">
        <v>-97</v>
      </c>
      <c r="U394" s="4">
        <f t="shared" si="13"/>
        <v>477.36</v>
      </c>
      <c r="V394" s="5">
        <v>0.666</v>
      </c>
      <c r="W394" s="2">
        <v>61</v>
      </c>
      <c r="AU394" s="3" t="s">
        <v>73</v>
      </c>
      <c r="AW394" s="2" t="s">
        <v>74</v>
      </c>
      <c r="AZ394" t="s">
        <v>1306</v>
      </c>
      <c r="BB394" s="7" t="str">
        <f>HYPERLINK("https://v360.in/diamondview.aspx?cid=preet&amp;d=HN-129-35","https://v360.in/diamondview.aspx?cid=preet&amp;d=HN-129-35")</f>
        <v>https://v360.in/diamondview.aspx?cid=preet&amp;d=HN-129-35</v>
      </c>
    </row>
    <row r="395" ht="15.75" spans="1:54">
      <c r="A395" s="2" t="s">
        <v>1307</v>
      </c>
      <c r="B395" s="3" t="s">
        <v>63</v>
      </c>
      <c r="C395" s="2" t="s">
        <v>1152</v>
      </c>
      <c r="D395" s="2">
        <v>1.52</v>
      </c>
      <c r="E395" s="2" t="s">
        <v>119</v>
      </c>
      <c r="F395" s="2" t="s">
        <v>66</v>
      </c>
      <c r="G395" s="2" t="s">
        <v>67</v>
      </c>
      <c r="H395" s="2" t="s">
        <v>68</v>
      </c>
      <c r="I395" s="2" t="s">
        <v>69</v>
      </c>
      <c r="J395" s="2" t="s">
        <v>70</v>
      </c>
      <c r="L395" s="2" t="s">
        <v>1308</v>
      </c>
      <c r="O395" t="s">
        <v>72</v>
      </c>
      <c r="P395" s="2">
        <v>560231299</v>
      </c>
      <c r="R395" s="2">
        <v>11800</v>
      </c>
      <c r="S395" s="4">
        <f t="shared" si="12"/>
        <v>17936</v>
      </c>
      <c r="T395" s="4">
        <v>-97</v>
      </c>
      <c r="U395" s="4">
        <f t="shared" si="13"/>
        <v>538.08</v>
      </c>
      <c r="V395" s="5">
        <v>0.656</v>
      </c>
      <c r="W395" s="5">
        <v>0.635</v>
      </c>
      <c r="AU395" s="3" t="s">
        <v>73</v>
      </c>
      <c r="AW395" s="2" t="s">
        <v>74</v>
      </c>
      <c r="AZ395" t="s">
        <v>1309</v>
      </c>
      <c r="BB395" s="7" t="str">
        <f>HYPERLINK("https://v360.in/diamondview.aspx?cid=preet&amp;d=HN-130-27","https://v360.in/diamondview.aspx?cid=preet&amp;d=HN-130-27")</f>
        <v>https://v360.in/diamondview.aspx?cid=preet&amp;d=HN-130-27</v>
      </c>
    </row>
    <row r="396" ht="15.75" spans="1:54">
      <c r="A396" s="2" t="s">
        <v>1310</v>
      </c>
      <c r="B396" s="3" t="s">
        <v>63</v>
      </c>
      <c r="C396" s="2" t="s">
        <v>1152</v>
      </c>
      <c r="D396" s="2">
        <v>1.52</v>
      </c>
      <c r="E396" s="2" t="s">
        <v>65</v>
      </c>
      <c r="F396" s="2" t="s">
        <v>91</v>
      </c>
      <c r="G396" s="2" t="s">
        <v>67</v>
      </c>
      <c r="H396" s="2" t="s">
        <v>68</v>
      </c>
      <c r="I396" s="2" t="s">
        <v>68</v>
      </c>
      <c r="J396" s="2" t="s">
        <v>70</v>
      </c>
      <c r="L396" s="2" t="s">
        <v>1311</v>
      </c>
      <c r="O396" t="s">
        <v>72</v>
      </c>
      <c r="P396" s="2">
        <v>559298572</v>
      </c>
      <c r="R396" s="2">
        <v>12200</v>
      </c>
      <c r="S396" s="4">
        <f t="shared" si="12"/>
        <v>18544</v>
      </c>
      <c r="T396" s="4">
        <v>-97</v>
      </c>
      <c r="U396" s="4">
        <f t="shared" si="13"/>
        <v>556.32</v>
      </c>
      <c r="V396" s="5">
        <v>0.687</v>
      </c>
      <c r="W396" s="5">
        <v>0.605</v>
      </c>
      <c r="AU396" s="3" t="s">
        <v>73</v>
      </c>
      <c r="AW396" s="2" t="s">
        <v>74</v>
      </c>
      <c r="AZ396" t="s">
        <v>1312</v>
      </c>
      <c r="BB396" s="7" t="str">
        <f>HYPERLINK("https://v360.in/diamondview.aspx?cid=preet&amp;d=HN-129-31","https://v360.in/diamondview.aspx?cid=preet&amp;d=HN-129-31")</f>
        <v>https://v360.in/diamondview.aspx?cid=preet&amp;d=HN-129-31</v>
      </c>
    </row>
    <row r="397" ht="15.75" spans="1:54">
      <c r="A397" s="2" t="s">
        <v>1313</v>
      </c>
      <c r="B397" s="3" t="s">
        <v>63</v>
      </c>
      <c r="C397" s="2" t="s">
        <v>1152</v>
      </c>
      <c r="D397" s="2">
        <v>1.52</v>
      </c>
      <c r="E397" s="2" t="s">
        <v>65</v>
      </c>
      <c r="F397" s="2" t="s">
        <v>91</v>
      </c>
      <c r="G397" s="2" t="s">
        <v>67</v>
      </c>
      <c r="H397" s="2" t="s">
        <v>68</v>
      </c>
      <c r="I397" s="2" t="s">
        <v>68</v>
      </c>
      <c r="J397" s="2" t="s">
        <v>70</v>
      </c>
      <c r="L397" s="2" t="s">
        <v>1314</v>
      </c>
      <c r="O397" t="s">
        <v>72</v>
      </c>
      <c r="P397" s="2">
        <v>571301028</v>
      </c>
      <c r="R397" s="2">
        <v>12200</v>
      </c>
      <c r="S397" s="4">
        <f t="shared" si="12"/>
        <v>18544</v>
      </c>
      <c r="T397" s="4">
        <v>-97</v>
      </c>
      <c r="U397" s="4">
        <f t="shared" si="13"/>
        <v>556.32</v>
      </c>
      <c r="V397" s="5">
        <v>0.686</v>
      </c>
      <c r="W397" s="5">
        <v>0.655</v>
      </c>
      <c r="AU397" s="3" t="s">
        <v>73</v>
      </c>
      <c r="AW397" s="2" t="s">
        <v>93</v>
      </c>
      <c r="AZ397" t="s">
        <v>1315</v>
      </c>
      <c r="BB397" s="7" t="str">
        <f>HYPERLINK("https://v360.in/diamondview.aspx?cid=preet&amp;d=HN-141-20","https://v360.in/diamondview.aspx?cid=preet&amp;d=HN-141-20")</f>
        <v>https://v360.in/diamondview.aspx?cid=preet&amp;d=HN-141-20</v>
      </c>
    </row>
    <row r="398" ht="15.75" spans="1:54">
      <c r="A398" s="2" t="s">
        <v>1316</v>
      </c>
      <c r="B398" s="3" t="s">
        <v>63</v>
      </c>
      <c r="C398" s="2" t="s">
        <v>1152</v>
      </c>
      <c r="D398" s="2">
        <v>1.52</v>
      </c>
      <c r="E398" s="2" t="s">
        <v>558</v>
      </c>
      <c r="F398" s="2" t="s">
        <v>66</v>
      </c>
      <c r="G398" s="2" t="s">
        <v>67</v>
      </c>
      <c r="H398" s="2" t="s">
        <v>68</v>
      </c>
      <c r="I398" s="2" t="s">
        <v>68</v>
      </c>
      <c r="J398" s="2" t="s">
        <v>70</v>
      </c>
      <c r="L398" s="2" t="s">
        <v>1317</v>
      </c>
      <c r="O398" t="s">
        <v>72</v>
      </c>
      <c r="P398" s="2">
        <v>526286727</v>
      </c>
      <c r="R398" s="2">
        <v>7600</v>
      </c>
      <c r="S398" s="4">
        <f t="shared" si="12"/>
        <v>11552</v>
      </c>
      <c r="T398" s="4">
        <v>-97</v>
      </c>
      <c r="U398" s="4">
        <f t="shared" si="13"/>
        <v>346.56</v>
      </c>
      <c r="V398" s="5">
        <v>0.605</v>
      </c>
      <c r="W398" s="5">
        <v>0.705</v>
      </c>
      <c r="AU398" s="3" t="s">
        <v>73</v>
      </c>
      <c r="AW398" s="2" t="s">
        <v>74</v>
      </c>
      <c r="AZ398" t="s">
        <v>1318</v>
      </c>
      <c r="BB398" s="7" t="str">
        <f>HYPERLINK("","")</f>
        <v/>
      </c>
    </row>
    <row r="399" ht="15.75" spans="1:54">
      <c r="A399" s="2" t="s">
        <v>1319</v>
      </c>
      <c r="B399" s="3" t="s">
        <v>63</v>
      </c>
      <c r="C399" s="2" t="s">
        <v>1152</v>
      </c>
      <c r="D399" s="2">
        <v>1.51</v>
      </c>
      <c r="E399" s="2" t="s">
        <v>119</v>
      </c>
      <c r="F399" s="2" t="s">
        <v>66</v>
      </c>
      <c r="G399" s="2" t="s">
        <v>67</v>
      </c>
      <c r="H399" s="2" t="s">
        <v>68</v>
      </c>
      <c r="I399" s="2" t="s">
        <v>68</v>
      </c>
      <c r="J399" s="2" t="s">
        <v>70</v>
      </c>
      <c r="L399" s="2" t="s">
        <v>1320</v>
      </c>
      <c r="O399" t="s">
        <v>72</v>
      </c>
      <c r="P399" s="2">
        <v>561278586</v>
      </c>
      <c r="R399" s="2">
        <v>11800</v>
      </c>
      <c r="S399" s="4">
        <f t="shared" si="12"/>
        <v>17818</v>
      </c>
      <c r="T399" s="4">
        <v>-97</v>
      </c>
      <c r="U399" s="4">
        <f t="shared" si="13"/>
        <v>534.54</v>
      </c>
      <c r="V399" s="5">
        <v>0.647</v>
      </c>
      <c r="W399" s="2">
        <v>67</v>
      </c>
      <c r="AU399" s="3" t="s">
        <v>73</v>
      </c>
      <c r="AW399" s="2" t="s">
        <v>93</v>
      </c>
      <c r="AZ399" t="s">
        <v>1321</v>
      </c>
      <c r="BB399" s="7" t="str">
        <f>HYPERLINK("https://v360.in/diamondview.aspx?cid=preet&amp;d=HN-129-92","https://v360.in/diamondview.aspx?cid=preet&amp;d=HN-129-92")</f>
        <v>https://v360.in/diamondview.aspx?cid=preet&amp;d=HN-129-92</v>
      </c>
    </row>
    <row r="400" ht="15.75" spans="1:54">
      <c r="A400" s="2" t="s">
        <v>1322</v>
      </c>
      <c r="B400" s="3" t="s">
        <v>63</v>
      </c>
      <c r="C400" s="2" t="s">
        <v>1152</v>
      </c>
      <c r="D400" s="2">
        <v>1.51</v>
      </c>
      <c r="E400" s="2" t="s">
        <v>119</v>
      </c>
      <c r="F400" s="2" t="s">
        <v>91</v>
      </c>
      <c r="G400" s="2" t="s">
        <v>67</v>
      </c>
      <c r="H400" s="2" t="s">
        <v>68</v>
      </c>
      <c r="I400" s="2" t="s">
        <v>68</v>
      </c>
      <c r="J400" s="2" t="s">
        <v>70</v>
      </c>
      <c r="L400" s="2" t="s">
        <v>1323</v>
      </c>
      <c r="O400" t="s">
        <v>72</v>
      </c>
      <c r="P400" s="2">
        <v>560231276</v>
      </c>
      <c r="R400" s="2">
        <v>12800</v>
      </c>
      <c r="S400" s="4">
        <f t="shared" si="12"/>
        <v>19328</v>
      </c>
      <c r="T400" s="4">
        <v>-97</v>
      </c>
      <c r="U400" s="4">
        <f t="shared" si="13"/>
        <v>579.84</v>
      </c>
      <c r="V400" s="5">
        <v>0.682</v>
      </c>
      <c r="W400" s="2">
        <v>63</v>
      </c>
      <c r="AU400" s="3" t="s">
        <v>73</v>
      </c>
      <c r="AW400" s="2" t="s">
        <v>74</v>
      </c>
      <c r="AZ400" t="s">
        <v>1324</v>
      </c>
      <c r="BB400" s="7" t="str">
        <f>HYPERLINK("https://v360.in/diamondview.aspx?cid=preet&amp;d=HN-130-20","https://v360.in/diamondview.aspx?cid=preet&amp;d=HN-130-20")</f>
        <v>https://v360.in/diamondview.aspx?cid=preet&amp;d=HN-130-20</v>
      </c>
    </row>
    <row r="401" ht="15.75" spans="1:54">
      <c r="A401" s="2" t="s">
        <v>1325</v>
      </c>
      <c r="B401" s="3" t="s">
        <v>63</v>
      </c>
      <c r="C401" s="2" t="s">
        <v>1152</v>
      </c>
      <c r="D401" s="2">
        <v>1.51</v>
      </c>
      <c r="E401" s="2" t="s">
        <v>119</v>
      </c>
      <c r="F401" s="2" t="s">
        <v>155</v>
      </c>
      <c r="G401" s="2" t="s">
        <v>67</v>
      </c>
      <c r="H401" s="2" t="s">
        <v>69</v>
      </c>
      <c r="I401" s="2" t="s">
        <v>68</v>
      </c>
      <c r="J401" s="2" t="s">
        <v>70</v>
      </c>
      <c r="L401" s="2" t="s">
        <v>1326</v>
      </c>
      <c r="O401" t="s">
        <v>72</v>
      </c>
      <c r="P401" s="2">
        <v>553219376</v>
      </c>
      <c r="R401" s="2">
        <v>10500</v>
      </c>
      <c r="S401" s="4">
        <f t="shared" si="12"/>
        <v>15855</v>
      </c>
      <c r="T401" s="4">
        <v>-97</v>
      </c>
      <c r="U401" s="4">
        <f t="shared" si="13"/>
        <v>475.65</v>
      </c>
      <c r="V401" s="5">
        <v>0.684</v>
      </c>
      <c r="W401" s="5">
        <v>0.655</v>
      </c>
      <c r="AU401" s="3" t="s">
        <v>73</v>
      </c>
      <c r="AW401" s="2" t="s">
        <v>74</v>
      </c>
      <c r="AZ401" t="s">
        <v>1327</v>
      </c>
      <c r="BB401" s="7" t="str">
        <f>HYPERLINK("https://v360.in/diamondview.aspx?cid=preet&amp;d=HN-127-53","https://v360.in/diamondview.aspx?cid=preet&amp;d=HN-127-53")</f>
        <v>https://v360.in/diamondview.aspx?cid=preet&amp;d=HN-127-53</v>
      </c>
    </row>
    <row r="402" ht="15.75" spans="1:54">
      <c r="A402" s="2" t="s">
        <v>1328</v>
      </c>
      <c r="B402" s="3" t="s">
        <v>63</v>
      </c>
      <c r="C402" s="2" t="s">
        <v>1152</v>
      </c>
      <c r="D402" s="2">
        <v>1.51</v>
      </c>
      <c r="E402" s="2" t="s">
        <v>65</v>
      </c>
      <c r="F402" s="2" t="s">
        <v>155</v>
      </c>
      <c r="G402" s="2" t="s">
        <v>67</v>
      </c>
      <c r="H402" s="2" t="s">
        <v>68</v>
      </c>
      <c r="I402" s="2" t="s">
        <v>68</v>
      </c>
      <c r="J402" s="2" t="s">
        <v>70</v>
      </c>
      <c r="L402" s="2" t="s">
        <v>1329</v>
      </c>
      <c r="O402" t="s">
        <v>72</v>
      </c>
      <c r="P402" s="2">
        <v>559298574</v>
      </c>
      <c r="R402" s="2">
        <v>9900</v>
      </c>
      <c r="S402" s="4">
        <f t="shared" si="12"/>
        <v>14949</v>
      </c>
      <c r="T402" s="4">
        <v>-97</v>
      </c>
      <c r="U402" s="4">
        <f t="shared" si="13"/>
        <v>448.47</v>
      </c>
      <c r="V402" s="5">
        <v>0.678</v>
      </c>
      <c r="W402" s="5">
        <v>0.655</v>
      </c>
      <c r="AU402" s="3" t="s">
        <v>73</v>
      </c>
      <c r="AW402" s="2" t="s">
        <v>74</v>
      </c>
      <c r="AZ402" t="s">
        <v>1330</v>
      </c>
      <c r="BB402" s="7" t="str">
        <f>HYPERLINK("https://v360.in/diamondview.aspx?cid=preet&amp;d=HN-129-26","https://v360.in/diamondview.aspx?cid=preet&amp;d=HN-129-26")</f>
        <v>https://v360.in/diamondview.aspx?cid=preet&amp;d=HN-129-26</v>
      </c>
    </row>
    <row r="403" ht="15.75" spans="1:54">
      <c r="A403" s="2" t="s">
        <v>1331</v>
      </c>
      <c r="B403" s="3" t="s">
        <v>63</v>
      </c>
      <c r="C403" s="2" t="s">
        <v>1152</v>
      </c>
      <c r="D403" s="2">
        <v>1.51</v>
      </c>
      <c r="E403" s="2" t="s">
        <v>81</v>
      </c>
      <c r="F403" s="2" t="s">
        <v>143</v>
      </c>
      <c r="G403" s="2" t="s">
        <v>67</v>
      </c>
      <c r="H403" s="2" t="s">
        <v>68</v>
      </c>
      <c r="I403" s="2" t="s">
        <v>68</v>
      </c>
      <c r="J403" s="2" t="s">
        <v>70</v>
      </c>
      <c r="L403" s="2" t="s">
        <v>1332</v>
      </c>
      <c r="O403" t="s">
        <v>72</v>
      </c>
      <c r="P403" s="2">
        <v>570370814</v>
      </c>
      <c r="R403" s="2">
        <v>9900</v>
      </c>
      <c r="S403" s="4">
        <f t="shared" si="12"/>
        <v>14949</v>
      </c>
      <c r="T403" s="4">
        <v>-97</v>
      </c>
      <c r="U403" s="4">
        <f t="shared" si="13"/>
        <v>448.47</v>
      </c>
      <c r="V403" s="5">
        <v>0.653</v>
      </c>
      <c r="W403" s="5">
        <v>0.635</v>
      </c>
      <c r="AU403" s="3" t="s">
        <v>73</v>
      </c>
      <c r="AW403" s="2" t="s">
        <v>93</v>
      </c>
      <c r="AZ403" t="s">
        <v>1333</v>
      </c>
      <c r="BB403" s="7" t="str">
        <f>HYPERLINK("https://v360.in/diamondview.aspx?cid=preet&amp;d=HN-149-5","https://v360.in/diamondview.aspx?cid=preet&amp;d=HN-149-5")</f>
        <v>https://v360.in/diamondview.aspx?cid=preet&amp;d=HN-149-5</v>
      </c>
    </row>
    <row r="404" ht="15.75" spans="1:54">
      <c r="A404" s="2" t="s">
        <v>1334</v>
      </c>
      <c r="B404" s="3" t="s">
        <v>63</v>
      </c>
      <c r="C404" s="2" t="s">
        <v>1152</v>
      </c>
      <c r="D404" s="2">
        <v>1.5</v>
      </c>
      <c r="E404" s="2" t="s">
        <v>65</v>
      </c>
      <c r="F404" s="2" t="s">
        <v>66</v>
      </c>
      <c r="G404" s="2" t="s">
        <v>67</v>
      </c>
      <c r="H404" s="2" t="s">
        <v>68</v>
      </c>
      <c r="I404" s="2" t="s">
        <v>68</v>
      </c>
      <c r="J404" s="2" t="s">
        <v>70</v>
      </c>
      <c r="L404" s="2" t="s">
        <v>1335</v>
      </c>
      <c r="O404" t="s">
        <v>72</v>
      </c>
      <c r="P404" s="2">
        <v>547266590</v>
      </c>
      <c r="R404" s="2">
        <v>11200</v>
      </c>
      <c r="S404" s="4">
        <f t="shared" si="12"/>
        <v>16800</v>
      </c>
      <c r="T404" s="4">
        <v>-97</v>
      </c>
      <c r="U404" s="4">
        <f t="shared" si="13"/>
        <v>504</v>
      </c>
      <c r="V404" s="5">
        <v>0.637</v>
      </c>
      <c r="W404" s="6">
        <v>0.7</v>
      </c>
      <c r="AU404" s="3" t="s">
        <v>73</v>
      </c>
      <c r="AW404" s="2" t="s">
        <v>74</v>
      </c>
      <c r="AZ404" t="s">
        <v>1336</v>
      </c>
      <c r="BB404" s="7" t="str">
        <f>HYPERLINK("","")</f>
        <v/>
      </c>
    </row>
    <row r="405" ht="15.75" spans="1:54">
      <c r="A405" s="2" t="s">
        <v>1337</v>
      </c>
      <c r="B405" s="3" t="s">
        <v>63</v>
      </c>
      <c r="C405" s="2" t="s">
        <v>1152</v>
      </c>
      <c r="D405" s="2">
        <v>1.5</v>
      </c>
      <c r="E405" s="2" t="s">
        <v>65</v>
      </c>
      <c r="F405" s="2" t="s">
        <v>91</v>
      </c>
      <c r="G405" s="2" t="s">
        <v>67</v>
      </c>
      <c r="H405" s="2" t="s">
        <v>68</v>
      </c>
      <c r="I405" s="2" t="s">
        <v>68</v>
      </c>
      <c r="J405" s="2" t="s">
        <v>70</v>
      </c>
      <c r="L405" s="2" t="s">
        <v>1338</v>
      </c>
      <c r="O405" t="s">
        <v>72</v>
      </c>
      <c r="P405" s="2">
        <v>560231275</v>
      </c>
      <c r="R405" s="2">
        <v>12200</v>
      </c>
      <c r="S405" s="4">
        <f t="shared" si="12"/>
        <v>18300</v>
      </c>
      <c r="T405" s="4">
        <v>-97</v>
      </c>
      <c r="U405" s="4">
        <f t="shared" si="13"/>
        <v>549</v>
      </c>
      <c r="V405" s="5">
        <v>0.681</v>
      </c>
      <c r="W405" s="5">
        <v>0.645</v>
      </c>
      <c r="AU405" s="3" t="s">
        <v>73</v>
      </c>
      <c r="AW405" s="2" t="s">
        <v>74</v>
      </c>
      <c r="AZ405" t="s">
        <v>1339</v>
      </c>
      <c r="BB405" s="7" t="str">
        <f>HYPERLINK("https://v360.in/diamondview.aspx?cid=preet&amp;d=HN-130-19","https://v360.in/diamondview.aspx?cid=preet&amp;d=HN-130-19")</f>
        <v>https://v360.in/diamondview.aspx?cid=preet&amp;d=HN-130-19</v>
      </c>
    </row>
    <row r="406" ht="15.75" spans="1:54">
      <c r="A406" s="2" t="s">
        <v>1340</v>
      </c>
      <c r="B406" s="3" t="s">
        <v>63</v>
      </c>
      <c r="C406" s="2" t="s">
        <v>1152</v>
      </c>
      <c r="D406" s="2">
        <v>1.5</v>
      </c>
      <c r="E406" s="2" t="s">
        <v>65</v>
      </c>
      <c r="F406" s="2" t="s">
        <v>155</v>
      </c>
      <c r="G406" s="2" t="s">
        <v>67</v>
      </c>
      <c r="H406" s="2" t="s">
        <v>68</v>
      </c>
      <c r="I406" s="2" t="s">
        <v>68</v>
      </c>
      <c r="J406" s="2" t="s">
        <v>70</v>
      </c>
      <c r="L406" s="2" t="s">
        <v>1341</v>
      </c>
      <c r="O406" t="s">
        <v>72</v>
      </c>
      <c r="P406" s="2">
        <v>559298584</v>
      </c>
      <c r="R406" s="2">
        <v>9900</v>
      </c>
      <c r="S406" s="4">
        <f t="shared" si="12"/>
        <v>14850</v>
      </c>
      <c r="T406" s="4">
        <v>-97</v>
      </c>
      <c r="U406" s="4">
        <f t="shared" si="13"/>
        <v>445.5</v>
      </c>
      <c r="V406" s="5">
        <v>0.648</v>
      </c>
      <c r="W406" s="2">
        <v>67</v>
      </c>
      <c r="AU406" s="3" t="s">
        <v>73</v>
      </c>
      <c r="AW406" s="2" t="s">
        <v>74</v>
      </c>
      <c r="AZ406" t="s">
        <v>1342</v>
      </c>
      <c r="BB406" s="7" t="str">
        <f>HYPERLINK("https://v360.in/diamondview.aspx?cid=preet&amp;d=HN-130-10","https://v360.in/diamondview.aspx?cid=preet&amp;d=HN-130-10")</f>
        <v>https://v360.in/diamondview.aspx?cid=preet&amp;d=HN-130-10</v>
      </c>
    </row>
    <row r="407" ht="15.75" spans="1:54">
      <c r="A407" s="2" t="s">
        <v>1343</v>
      </c>
      <c r="B407" s="3" t="s">
        <v>63</v>
      </c>
      <c r="C407" s="2" t="s">
        <v>1152</v>
      </c>
      <c r="D407" s="2">
        <v>1.5</v>
      </c>
      <c r="E407" s="2" t="s">
        <v>81</v>
      </c>
      <c r="F407" s="2" t="s">
        <v>155</v>
      </c>
      <c r="G407" s="2" t="s">
        <v>67</v>
      </c>
      <c r="H407" s="2" t="s">
        <v>68</v>
      </c>
      <c r="I407" s="2" t="s">
        <v>68</v>
      </c>
      <c r="J407" s="2" t="s">
        <v>70</v>
      </c>
      <c r="L407" s="2" t="s">
        <v>1344</v>
      </c>
      <c r="O407" t="s">
        <v>72</v>
      </c>
      <c r="P407" s="2">
        <v>496107131</v>
      </c>
      <c r="R407" s="2">
        <v>8500</v>
      </c>
      <c r="S407" s="4">
        <f t="shared" si="12"/>
        <v>12750</v>
      </c>
      <c r="T407" s="4">
        <v>-97</v>
      </c>
      <c r="U407" s="4">
        <f t="shared" si="13"/>
        <v>382.5</v>
      </c>
      <c r="V407" s="5">
        <v>0.662</v>
      </c>
      <c r="W407" s="6">
        <v>0.7</v>
      </c>
      <c r="AU407" s="3" t="s">
        <v>73</v>
      </c>
      <c r="AW407" s="2" t="s">
        <v>74</v>
      </c>
      <c r="AZ407" t="s">
        <v>1345</v>
      </c>
      <c r="BB407" s="7" t="str">
        <f>HYPERLINK("https://view.gem360.in/gem360/2810210623-HN100-5/gem360-2810210623-HN100-5.html","https://view.gem360.in/gem360/2810210623-HN100-5/gem360-2810210623-HN100-5.html")</f>
        <v>https://view.gem360.in/gem360/2810210623-HN100-5/gem360-2810210623-HN100-5.html</v>
      </c>
    </row>
    <row r="408" ht="15.75" spans="1:54">
      <c r="A408" s="2" t="s">
        <v>1346</v>
      </c>
      <c r="B408" s="3" t="s">
        <v>63</v>
      </c>
      <c r="C408" s="2" t="s">
        <v>1152</v>
      </c>
      <c r="D408" s="2">
        <v>1.42</v>
      </c>
      <c r="E408" s="2" t="s">
        <v>65</v>
      </c>
      <c r="F408" s="2" t="s">
        <v>66</v>
      </c>
      <c r="G408" s="2" t="s">
        <v>67</v>
      </c>
      <c r="H408" s="2" t="s">
        <v>68</v>
      </c>
      <c r="I408" s="2" t="s">
        <v>68</v>
      </c>
      <c r="J408" s="2" t="s">
        <v>70</v>
      </c>
      <c r="L408" s="2" t="s">
        <v>1347</v>
      </c>
      <c r="O408" t="s">
        <v>72</v>
      </c>
      <c r="P408" s="2">
        <v>561259404</v>
      </c>
      <c r="R408" s="2">
        <v>6900</v>
      </c>
      <c r="S408" s="4">
        <f t="shared" si="12"/>
        <v>9798</v>
      </c>
      <c r="T408" s="4">
        <v>-97</v>
      </c>
      <c r="U408" s="4">
        <f t="shared" si="13"/>
        <v>293.94</v>
      </c>
      <c r="V408" s="5">
        <v>0.653</v>
      </c>
      <c r="W408" s="2">
        <v>68</v>
      </c>
      <c r="AU408" s="3" t="s">
        <v>73</v>
      </c>
      <c r="AW408" s="2" t="s">
        <v>74</v>
      </c>
      <c r="AZ408" t="s">
        <v>1348</v>
      </c>
      <c r="BB408" s="7" t="str">
        <f>HYPERLINK("https://v360.in/diamondview.aspx?cid=preet&amp;d=HN-130-21","https://v360.in/diamondview.aspx?cid=preet&amp;d=HN-130-21")</f>
        <v>https://v360.in/diamondview.aspx?cid=preet&amp;d=HN-130-21</v>
      </c>
    </row>
    <row r="409" ht="15.75" spans="1:54">
      <c r="A409" s="2" t="s">
        <v>1349</v>
      </c>
      <c r="B409" s="3" t="s">
        <v>63</v>
      </c>
      <c r="C409" s="2" t="s">
        <v>1152</v>
      </c>
      <c r="D409" s="2">
        <v>1.41</v>
      </c>
      <c r="E409" s="2" t="s">
        <v>63</v>
      </c>
      <c r="F409" s="2" t="s">
        <v>66</v>
      </c>
      <c r="G409" s="2" t="s">
        <v>67</v>
      </c>
      <c r="H409" s="2" t="s">
        <v>68</v>
      </c>
      <c r="I409" s="2" t="s">
        <v>68</v>
      </c>
      <c r="J409" s="2" t="s">
        <v>70</v>
      </c>
      <c r="L409" s="2" t="s">
        <v>1350</v>
      </c>
      <c r="O409" t="s">
        <v>72</v>
      </c>
      <c r="P409" s="2">
        <v>570376197</v>
      </c>
      <c r="R409" s="2">
        <v>6600</v>
      </c>
      <c r="S409" s="4">
        <f t="shared" si="12"/>
        <v>9306</v>
      </c>
      <c r="T409" s="4">
        <v>-97</v>
      </c>
      <c r="U409" s="4">
        <f t="shared" si="13"/>
        <v>279.18</v>
      </c>
      <c r="V409" s="5">
        <v>0.671</v>
      </c>
      <c r="W409" s="5">
        <v>0.635</v>
      </c>
      <c r="AU409" s="3" t="s">
        <v>73</v>
      </c>
      <c r="AW409" s="2" t="s">
        <v>93</v>
      </c>
      <c r="AZ409" t="s">
        <v>1351</v>
      </c>
      <c r="BB409" s="7" t="str">
        <f>HYPERLINK("https://v360.in/diamondview.aspx?cid=preet&amp;d=HN-148-12","https://v360.in/diamondview.aspx?cid=preet&amp;d=HN-148-12")</f>
        <v>https://v360.in/diamondview.aspx?cid=preet&amp;d=HN-148-12</v>
      </c>
    </row>
    <row r="410" ht="15.75" spans="1:54">
      <c r="A410" s="2" t="s">
        <v>1352</v>
      </c>
      <c r="B410" s="3" t="s">
        <v>63</v>
      </c>
      <c r="C410" s="2" t="s">
        <v>1152</v>
      </c>
      <c r="D410" s="2">
        <v>1.4</v>
      </c>
      <c r="E410" s="2" t="s">
        <v>65</v>
      </c>
      <c r="F410" s="2" t="s">
        <v>66</v>
      </c>
      <c r="G410" s="2" t="s">
        <v>67</v>
      </c>
      <c r="H410" s="2" t="s">
        <v>68</v>
      </c>
      <c r="I410" s="2" t="s">
        <v>68</v>
      </c>
      <c r="J410" s="2" t="s">
        <v>70</v>
      </c>
      <c r="L410" s="2" t="s">
        <v>1353</v>
      </c>
      <c r="O410" t="s">
        <v>72</v>
      </c>
      <c r="P410" s="2">
        <v>571301011</v>
      </c>
      <c r="R410" s="2">
        <v>6900</v>
      </c>
      <c r="S410" s="4">
        <f t="shared" si="12"/>
        <v>9660</v>
      </c>
      <c r="T410" s="4">
        <v>-97</v>
      </c>
      <c r="U410" s="4">
        <f t="shared" si="13"/>
        <v>289.8</v>
      </c>
      <c r="V410" s="5">
        <v>0.681</v>
      </c>
      <c r="W410" s="6">
        <v>0.7</v>
      </c>
      <c r="AU410" s="3" t="s">
        <v>73</v>
      </c>
      <c r="AW410" s="2" t="s">
        <v>93</v>
      </c>
      <c r="AZ410" t="s">
        <v>1354</v>
      </c>
      <c r="BB410" s="7" t="s">
        <v>1355</v>
      </c>
    </row>
    <row r="411" ht="15.75" spans="1:54">
      <c r="A411" s="2" t="s">
        <v>1356</v>
      </c>
      <c r="B411" s="3" t="s">
        <v>63</v>
      </c>
      <c r="C411" s="2" t="s">
        <v>1152</v>
      </c>
      <c r="D411" s="2">
        <v>1.4</v>
      </c>
      <c r="E411" s="2" t="s">
        <v>63</v>
      </c>
      <c r="F411" s="2" t="s">
        <v>66</v>
      </c>
      <c r="G411" s="2" t="s">
        <v>67</v>
      </c>
      <c r="H411" s="2" t="s">
        <v>68</v>
      </c>
      <c r="I411" s="2" t="s">
        <v>68</v>
      </c>
      <c r="J411" s="2" t="s">
        <v>70</v>
      </c>
      <c r="L411" s="2" t="s">
        <v>1357</v>
      </c>
      <c r="O411" t="s">
        <v>72</v>
      </c>
      <c r="P411" s="2">
        <v>569328546</v>
      </c>
      <c r="R411" s="2">
        <v>6600</v>
      </c>
      <c r="S411" s="4">
        <f t="shared" si="12"/>
        <v>9240</v>
      </c>
      <c r="T411" s="4">
        <v>-97</v>
      </c>
      <c r="U411" s="4">
        <f t="shared" si="13"/>
        <v>277.2</v>
      </c>
      <c r="V411" s="5">
        <v>0.622</v>
      </c>
      <c r="W411" s="6">
        <v>0.56</v>
      </c>
      <c r="AU411" s="3" t="s">
        <v>73</v>
      </c>
      <c r="AW411" s="2" t="s">
        <v>93</v>
      </c>
      <c r="AZ411" t="s">
        <v>1358</v>
      </c>
      <c r="BB411" s="7" t="str">
        <f>HYPERLINK("https://v360.in/diamondview.aspx?cid=preet&amp;d=HN-137-14","https://v360.in/diamondview.aspx?cid=preet&amp;d=HN-137-14")</f>
        <v>https://v360.in/diamondview.aspx?cid=preet&amp;d=HN-137-14</v>
      </c>
    </row>
    <row r="412" ht="15.75" spans="1:54">
      <c r="A412" s="2" t="s">
        <v>1359</v>
      </c>
      <c r="B412" s="3" t="s">
        <v>63</v>
      </c>
      <c r="C412" s="2" t="s">
        <v>1152</v>
      </c>
      <c r="D412" s="2">
        <v>1.38</v>
      </c>
      <c r="E412" s="2" t="s">
        <v>65</v>
      </c>
      <c r="F412" s="2" t="s">
        <v>91</v>
      </c>
      <c r="G412" s="2" t="s">
        <v>67</v>
      </c>
      <c r="H412" s="2" t="s">
        <v>68</v>
      </c>
      <c r="I412" s="2" t="s">
        <v>68</v>
      </c>
      <c r="J412" s="2" t="s">
        <v>70</v>
      </c>
      <c r="L412" s="2" t="s">
        <v>1360</v>
      </c>
      <c r="O412" t="s">
        <v>72</v>
      </c>
      <c r="P412" s="2">
        <v>553259832</v>
      </c>
      <c r="R412" s="2">
        <v>7500</v>
      </c>
      <c r="S412" s="4">
        <f t="shared" si="12"/>
        <v>10350</v>
      </c>
      <c r="T412" s="4">
        <v>-97</v>
      </c>
      <c r="U412" s="4">
        <f t="shared" si="13"/>
        <v>310.5</v>
      </c>
      <c r="V412" s="5">
        <v>0.714</v>
      </c>
      <c r="W412" s="5">
        <v>0.615</v>
      </c>
      <c r="AU412" s="3" t="s">
        <v>73</v>
      </c>
      <c r="AW412" s="2" t="s">
        <v>74</v>
      </c>
      <c r="AZ412" t="s">
        <v>1361</v>
      </c>
      <c r="BB412" s="7" t="str">
        <f>HYPERLINK("https://v360.in/diamondview.aspx?cid=preet&amp;d=HN-128-50","https://v360.in/diamondview.aspx?cid=preet&amp;d=HN-128-50")</f>
        <v>https://v360.in/diamondview.aspx?cid=preet&amp;d=HN-128-50</v>
      </c>
    </row>
    <row r="413" ht="15.75" spans="1:54">
      <c r="A413" s="2" t="s">
        <v>1362</v>
      </c>
      <c r="B413" s="3" t="s">
        <v>63</v>
      </c>
      <c r="C413" s="2" t="s">
        <v>1152</v>
      </c>
      <c r="D413" s="2">
        <v>1.37</v>
      </c>
      <c r="E413" s="2" t="s">
        <v>63</v>
      </c>
      <c r="F413" s="2" t="s">
        <v>91</v>
      </c>
      <c r="G413" s="2" t="s">
        <v>67</v>
      </c>
      <c r="H413" s="2" t="s">
        <v>68</v>
      </c>
      <c r="I413" s="2" t="s">
        <v>68</v>
      </c>
      <c r="J413" s="2" t="s">
        <v>70</v>
      </c>
      <c r="L413" s="2" t="s">
        <v>1363</v>
      </c>
      <c r="O413" t="s">
        <v>72</v>
      </c>
      <c r="P413" s="2">
        <v>571301012</v>
      </c>
      <c r="R413" s="2">
        <v>7000</v>
      </c>
      <c r="S413" s="4">
        <f t="shared" si="12"/>
        <v>9590</v>
      </c>
      <c r="T413" s="4">
        <v>-97</v>
      </c>
      <c r="U413" s="4">
        <f t="shared" si="13"/>
        <v>287.7</v>
      </c>
      <c r="V413" s="6">
        <v>0.66</v>
      </c>
      <c r="W413" s="6">
        <v>0.7</v>
      </c>
      <c r="AU413" s="3" t="s">
        <v>73</v>
      </c>
      <c r="AW413" s="2" t="s">
        <v>93</v>
      </c>
      <c r="AZ413" t="s">
        <v>1364</v>
      </c>
      <c r="BB413" s="7" t="s">
        <v>1365</v>
      </c>
    </row>
    <row r="414" ht="15.75" spans="1:54">
      <c r="A414" s="2" t="s">
        <v>1366</v>
      </c>
      <c r="B414" s="3" t="s">
        <v>63</v>
      </c>
      <c r="C414" s="2" t="s">
        <v>1152</v>
      </c>
      <c r="D414" s="2">
        <v>1.36</v>
      </c>
      <c r="E414" s="2" t="s">
        <v>65</v>
      </c>
      <c r="F414" s="2" t="s">
        <v>91</v>
      </c>
      <c r="G414" s="2" t="s">
        <v>67</v>
      </c>
      <c r="H414" s="2" t="s">
        <v>68</v>
      </c>
      <c r="I414" s="2" t="s">
        <v>68</v>
      </c>
      <c r="J414" s="2" t="s">
        <v>70</v>
      </c>
      <c r="L414" s="2" t="s">
        <v>1367</v>
      </c>
      <c r="O414" t="s">
        <v>72</v>
      </c>
      <c r="P414" s="2">
        <v>571307670</v>
      </c>
      <c r="R414" s="2">
        <v>7500</v>
      </c>
      <c r="S414" s="4">
        <f t="shared" si="12"/>
        <v>10200</v>
      </c>
      <c r="T414" s="4">
        <v>-97</v>
      </c>
      <c r="U414" s="4">
        <f t="shared" si="13"/>
        <v>306</v>
      </c>
      <c r="V414" s="5">
        <v>0.682</v>
      </c>
      <c r="W414" s="6">
        <v>0.64</v>
      </c>
      <c r="AU414" s="3" t="s">
        <v>73</v>
      </c>
      <c r="AW414" s="2" t="s">
        <v>93</v>
      </c>
      <c r="AZ414" t="s">
        <v>1368</v>
      </c>
      <c r="BB414" s="7" t="s">
        <v>1369</v>
      </c>
    </row>
    <row r="415" ht="15.75" spans="1:54">
      <c r="A415" s="2" t="s">
        <v>1370</v>
      </c>
      <c r="B415" s="3" t="s">
        <v>63</v>
      </c>
      <c r="C415" s="2" t="s">
        <v>1152</v>
      </c>
      <c r="D415" s="2">
        <v>1.35</v>
      </c>
      <c r="E415" s="2" t="s">
        <v>63</v>
      </c>
      <c r="F415" s="2" t="s">
        <v>91</v>
      </c>
      <c r="G415" s="2" t="s">
        <v>67</v>
      </c>
      <c r="H415" s="2" t="s">
        <v>68</v>
      </c>
      <c r="I415" s="2" t="s">
        <v>68</v>
      </c>
      <c r="J415" s="2" t="s">
        <v>70</v>
      </c>
      <c r="L415" s="2" t="s">
        <v>1371</v>
      </c>
      <c r="O415" t="s">
        <v>72</v>
      </c>
      <c r="P415" s="2">
        <v>571301010</v>
      </c>
      <c r="R415" s="2">
        <v>7000</v>
      </c>
      <c r="S415" s="4">
        <f t="shared" si="12"/>
        <v>9450</v>
      </c>
      <c r="T415" s="4">
        <v>-97</v>
      </c>
      <c r="U415" s="4">
        <f t="shared" si="13"/>
        <v>283.5</v>
      </c>
      <c r="V415" s="5">
        <v>0.674</v>
      </c>
      <c r="W415" s="5">
        <v>0.695</v>
      </c>
      <c r="AU415" s="3" t="s">
        <v>73</v>
      </c>
      <c r="AW415" s="2" t="s">
        <v>93</v>
      </c>
      <c r="AZ415" t="s">
        <v>1372</v>
      </c>
      <c r="BB415" s="7" t="s">
        <v>1373</v>
      </c>
    </row>
    <row r="416" ht="15.75" spans="1:54">
      <c r="A416" s="2" t="s">
        <v>1374</v>
      </c>
      <c r="B416" s="3" t="s">
        <v>63</v>
      </c>
      <c r="C416" s="2" t="s">
        <v>1152</v>
      </c>
      <c r="D416" s="2">
        <v>1.33</v>
      </c>
      <c r="E416" s="2" t="s">
        <v>558</v>
      </c>
      <c r="F416" s="2" t="s">
        <v>155</v>
      </c>
      <c r="G416" s="2" t="s">
        <v>67</v>
      </c>
      <c r="H416" s="2" t="s">
        <v>68</v>
      </c>
      <c r="I416" s="2" t="s">
        <v>68</v>
      </c>
      <c r="J416" s="2" t="s">
        <v>70</v>
      </c>
      <c r="L416" s="2" t="s">
        <v>1375</v>
      </c>
      <c r="O416" t="s">
        <v>72</v>
      </c>
      <c r="P416" s="2">
        <v>524211504</v>
      </c>
      <c r="R416" s="2">
        <v>4400</v>
      </c>
      <c r="S416" s="4">
        <f t="shared" si="12"/>
        <v>5852</v>
      </c>
      <c r="T416" s="4">
        <v>-97</v>
      </c>
      <c r="U416" s="4">
        <f t="shared" si="13"/>
        <v>175.56</v>
      </c>
      <c r="V416" s="5">
        <v>0.636</v>
      </c>
      <c r="W416" s="6">
        <v>0.69</v>
      </c>
      <c r="AU416" s="3" t="s">
        <v>73</v>
      </c>
      <c r="AW416" s="2" t="s">
        <v>74</v>
      </c>
      <c r="AZ416" t="s">
        <v>1376</v>
      </c>
      <c r="BB416" s="7" t="str">
        <f>HYPERLINK("https://view.gem360.in/gem360/3004220441-HN43-24/gem360-3004220441-HN43-24.html","https://view.gem360.in/gem360/3004220441-HN43-24/gem360-3004220441-HN43-24.html")</f>
        <v>https://view.gem360.in/gem360/3004220441-HN43-24/gem360-3004220441-HN43-24.html</v>
      </c>
    </row>
    <row r="417" ht="15.75" spans="1:54">
      <c r="A417" s="2" t="s">
        <v>1377</v>
      </c>
      <c r="B417" s="3" t="s">
        <v>63</v>
      </c>
      <c r="C417" s="2" t="s">
        <v>1152</v>
      </c>
      <c r="D417" s="2">
        <v>1.32</v>
      </c>
      <c r="E417" s="2" t="s">
        <v>63</v>
      </c>
      <c r="F417" s="2" t="s">
        <v>155</v>
      </c>
      <c r="G417" s="2" t="s">
        <v>67</v>
      </c>
      <c r="H417" s="2" t="s">
        <v>68</v>
      </c>
      <c r="I417" s="2" t="s">
        <v>69</v>
      </c>
      <c r="J417" s="2" t="s">
        <v>70</v>
      </c>
      <c r="L417" s="2" t="s">
        <v>1378</v>
      </c>
      <c r="O417" t="s">
        <v>72</v>
      </c>
      <c r="P417" s="2">
        <v>566393804</v>
      </c>
      <c r="R417" s="2">
        <v>5400</v>
      </c>
      <c r="S417" s="4">
        <f t="shared" si="12"/>
        <v>7128</v>
      </c>
      <c r="T417" s="4">
        <v>-97</v>
      </c>
      <c r="U417" s="4">
        <f t="shared" si="13"/>
        <v>213.84</v>
      </c>
      <c r="V417" s="5">
        <v>0.632</v>
      </c>
      <c r="W417" s="5">
        <v>0.695</v>
      </c>
      <c r="AU417" s="3" t="s">
        <v>73</v>
      </c>
      <c r="AW417" s="2" t="s">
        <v>93</v>
      </c>
      <c r="AZ417" t="s">
        <v>1379</v>
      </c>
      <c r="BB417" s="7" t="str">
        <f>HYPERLINK("https://v360.in/diamondview.aspx?cid=preet&amp;d=HN-135-18","https://v360.in/diamondview.aspx?cid=preet&amp;d=HN-135-18")</f>
        <v>https://v360.in/diamondview.aspx?cid=preet&amp;d=HN-135-18</v>
      </c>
    </row>
    <row r="418" ht="15.75" spans="1:54">
      <c r="A418" s="2" t="s">
        <v>1380</v>
      </c>
      <c r="B418" s="3" t="s">
        <v>63</v>
      </c>
      <c r="C418" s="2" t="s">
        <v>1152</v>
      </c>
      <c r="D418" s="2">
        <v>1.31</v>
      </c>
      <c r="E418" s="2" t="s">
        <v>119</v>
      </c>
      <c r="F418" s="2" t="s">
        <v>66</v>
      </c>
      <c r="G418" s="2" t="s">
        <v>67</v>
      </c>
      <c r="H418" s="2" t="s">
        <v>68</v>
      </c>
      <c r="I418" s="2" t="s">
        <v>68</v>
      </c>
      <c r="J418" s="2" t="s">
        <v>70</v>
      </c>
      <c r="L418" s="2" t="s">
        <v>1381</v>
      </c>
      <c r="O418" t="s">
        <v>72</v>
      </c>
      <c r="P418" s="2">
        <v>561259405</v>
      </c>
      <c r="R418" s="2">
        <v>7200</v>
      </c>
      <c r="S418" s="4">
        <f t="shared" si="12"/>
        <v>9432</v>
      </c>
      <c r="T418" s="4">
        <v>-97</v>
      </c>
      <c r="U418" s="4">
        <f t="shared" si="13"/>
        <v>282.96</v>
      </c>
      <c r="V418" s="5">
        <v>0.688</v>
      </c>
      <c r="W418" s="2">
        <v>67</v>
      </c>
      <c r="AU418" s="3" t="s">
        <v>73</v>
      </c>
      <c r="AW418" s="2" t="s">
        <v>74</v>
      </c>
      <c r="AZ418" t="s">
        <v>1382</v>
      </c>
      <c r="BB418" s="7" t="str">
        <f>HYPERLINK("https://v360.in/diamondview.aspx?cid=preet&amp;d=HN-130-41","https://v360.in/diamondview.aspx?cid=preet&amp;d=HN-130-41")</f>
        <v>https://v360.in/diamondview.aspx?cid=preet&amp;d=HN-130-41</v>
      </c>
    </row>
    <row r="419" ht="15.75" spans="1:54">
      <c r="A419" s="2" t="s">
        <v>1383</v>
      </c>
      <c r="B419" s="3" t="s">
        <v>63</v>
      </c>
      <c r="C419" s="2" t="s">
        <v>1152</v>
      </c>
      <c r="D419" s="2">
        <v>1.31</v>
      </c>
      <c r="E419" s="2" t="s">
        <v>63</v>
      </c>
      <c r="F419" s="2" t="s">
        <v>66</v>
      </c>
      <c r="G419" s="2" t="s">
        <v>67</v>
      </c>
      <c r="H419" s="2" t="s">
        <v>68</v>
      </c>
      <c r="I419" s="2" t="s">
        <v>68</v>
      </c>
      <c r="J419" s="2" t="s">
        <v>70</v>
      </c>
      <c r="L419" s="2" t="s">
        <v>1384</v>
      </c>
      <c r="O419" t="s">
        <v>72</v>
      </c>
      <c r="P419" s="2">
        <v>570376196</v>
      </c>
      <c r="R419" s="2">
        <v>6600</v>
      </c>
      <c r="S419" s="4">
        <f t="shared" si="12"/>
        <v>8646</v>
      </c>
      <c r="T419" s="4">
        <v>-97</v>
      </c>
      <c r="U419" s="4">
        <f t="shared" si="13"/>
        <v>259.38</v>
      </c>
      <c r="V419" s="5">
        <v>0.658</v>
      </c>
      <c r="W419" s="5">
        <v>0.685</v>
      </c>
      <c r="AU419" s="3" t="s">
        <v>73</v>
      </c>
      <c r="AW419" s="2" t="s">
        <v>93</v>
      </c>
      <c r="AZ419" t="s">
        <v>1385</v>
      </c>
      <c r="BB419" s="7" t="str">
        <f>HYPERLINK("https://v360.in/diamondview.aspx?cid=preet&amp;d=HN-148-15","https://v360.in/diamondview.aspx?cid=preet&amp;d=HN-148-15")</f>
        <v>https://v360.in/diamondview.aspx?cid=preet&amp;d=HN-148-15</v>
      </c>
    </row>
    <row r="420" ht="15.75" spans="1:54">
      <c r="A420" s="2" t="s">
        <v>1386</v>
      </c>
      <c r="B420" s="3" t="s">
        <v>63</v>
      </c>
      <c r="C420" s="2" t="s">
        <v>1152</v>
      </c>
      <c r="D420" s="2">
        <v>1.31</v>
      </c>
      <c r="E420" s="2" t="s">
        <v>63</v>
      </c>
      <c r="F420" s="2" t="s">
        <v>91</v>
      </c>
      <c r="G420" s="2" t="s">
        <v>67</v>
      </c>
      <c r="H420" s="2" t="s">
        <v>68</v>
      </c>
      <c r="I420" s="2" t="s">
        <v>68</v>
      </c>
      <c r="J420" s="2" t="s">
        <v>70</v>
      </c>
      <c r="L420" s="2" t="s">
        <v>1387</v>
      </c>
      <c r="O420" t="s">
        <v>72</v>
      </c>
      <c r="P420" s="2">
        <v>570370813</v>
      </c>
      <c r="R420" s="2">
        <v>7000</v>
      </c>
      <c r="S420" s="4">
        <f t="shared" si="12"/>
        <v>9170</v>
      </c>
      <c r="T420" s="4">
        <v>-97</v>
      </c>
      <c r="U420" s="4">
        <f t="shared" si="13"/>
        <v>275.1</v>
      </c>
      <c r="V420" s="5">
        <v>0.682</v>
      </c>
      <c r="W420" s="6">
        <v>0.67</v>
      </c>
      <c r="AU420" s="3" t="s">
        <v>73</v>
      </c>
      <c r="AW420" s="2" t="s">
        <v>93</v>
      </c>
      <c r="AZ420" t="s">
        <v>1388</v>
      </c>
      <c r="BB420" s="7" t="str">
        <f>HYPERLINK("https://v360.in/diamondview.aspx?cid=preet&amp;d=HN-149-4","https://v360.in/diamondview.aspx?cid=preet&amp;d=HN-149-4")</f>
        <v>https://v360.in/diamondview.aspx?cid=preet&amp;d=HN-149-4</v>
      </c>
    </row>
    <row r="421" ht="15.75" spans="1:54">
      <c r="A421" s="2" t="s">
        <v>1389</v>
      </c>
      <c r="B421" s="3" t="s">
        <v>63</v>
      </c>
      <c r="C421" s="2" t="s">
        <v>1152</v>
      </c>
      <c r="D421" s="2">
        <v>1.3</v>
      </c>
      <c r="E421" s="2" t="s">
        <v>81</v>
      </c>
      <c r="F421" s="2" t="s">
        <v>66</v>
      </c>
      <c r="G421" s="2" t="s">
        <v>67</v>
      </c>
      <c r="H421" s="2" t="s">
        <v>68</v>
      </c>
      <c r="I421" s="2" t="s">
        <v>69</v>
      </c>
      <c r="J421" s="2" t="s">
        <v>70</v>
      </c>
      <c r="L421" s="2" t="s">
        <v>1390</v>
      </c>
      <c r="O421" t="s">
        <v>72</v>
      </c>
      <c r="P421" s="2">
        <v>519258110</v>
      </c>
      <c r="R421" s="2">
        <v>5700</v>
      </c>
      <c r="S421" s="4">
        <f t="shared" si="12"/>
        <v>7410</v>
      </c>
      <c r="T421" s="4">
        <v>-97</v>
      </c>
      <c r="U421" s="4">
        <f t="shared" si="13"/>
        <v>222.3</v>
      </c>
      <c r="V421" s="5">
        <v>0.689</v>
      </c>
      <c r="W421" s="6">
        <v>0.68</v>
      </c>
      <c r="AU421" s="3" t="s">
        <v>73</v>
      </c>
      <c r="AW421" s="2" t="s">
        <v>74</v>
      </c>
      <c r="AZ421" t="s">
        <v>1391</v>
      </c>
      <c r="BB421" s="7" t="str">
        <f>HYPERLINK("","")</f>
        <v/>
      </c>
    </row>
    <row r="422" ht="15.75" spans="1:54">
      <c r="A422" s="2" t="s">
        <v>1392</v>
      </c>
      <c r="B422" s="3" t="s">
        <v>63</v>
      </c>
      <c r="C422" s="2" t="s">
        <v>1152</v>
      </c>
      <c r="D422" s="2">
        <v>1.26</v>
      </c>
      <c r="E422" s="2" t="s">
        <v>63</v>
      </c>
      <c r="F422" s="2" t="s">
        <v>91</v>
      </c>
      <c r="G422" s="2" t="s">
        <v>67</v>
      </c>
      <c r="H422" s="2" t="s">
        <v>68</v>
      </c>
      <c r="I422" s="2" t="s">
        <v>68</v>
      </c>
      <c r="J422" s="2" t="s">
        <v>70</v>
      </c>
      <c r="L422" s="2" t="s">
        <v>1393</v>
      </c>
      <c r="O422" t="s">
        <v>72</v>
      </c>
      <c r="P422" s="2">
        <v>571301009</v>
      </c>
      <c r="R422" s="2">
        <v>7000</v>
      </c>
      <c r="S422" s="4">
        <f t="shared" si="12"/>
        <v>8820</v>
      </c>
      <c r="T422" s="4">
        <v>-97</v>
      </c>
      <c r="U422" s="4">
        <f t="shared" si="13"/>
        <v>264.6</v>
      </c>
      <c r="V422" s="5">
        <v>0.686</v>
      </c>
      <c r="W422" s="6">
        <v>0.66</v>
      </c>
      <c r="AU422" s="3" t="s">
        <v>73</v>
      </c>
      <c r="AW422" s="2" t="s">
        <v>93</v>
      </c>
      <c r="AZ422" t="s">
        <v>1394</v>
      </c>
      <c r="BB422" s="7" t="s">
        <v>1395</v>
      </c>
    </row>
    <row r="423" ht="15.75" spans="1:54">
      <c r="A423" s="2" t="s">
        <v>1396</v>
      </c>
      <c r="B423" s="3" t="s">
        <v>63</v>
      </c>
      <c r="C423" s="2" t="s">
        <v>1152</v>
      </c>
      <c r="D423" s="2">
        <v>1.26</v>
      </c>
      <c r="E423" s="2" t="s">
        <v>81</v>
      </c>
      <c r="F423" s="2" t="s">
        <v>155</v>
      </c>
      <c r="G423" s="2" t="s">
        <v>67</v>
      </c>
      <c r="H423" s="2" t="s">
        <v>68</v>
      </c>
      <c r="I423" s="2" t="s">
        <v>68</v>
      </c>
      <c r="J423" s="2" t="s">
        <v>70</v>
      </c>
      <c r="L423" s="2" t="s">
        <v>1397</v>
      </c>
      <c r="O423" t="s">
        <v>72</v>
      </c>
      <c r="P423" s="2">
        <v>519258107</v>
      </c>
      <c r="R423" s="2">
        <v>5000</v>
      </c>
      <c r="S423" s="4">
        <f t="shared" si="12"/>
        <v>6300</v>
      </c>
      <c r="T423" s="4">
        <v>-97</v>
      </c>
      <c r="U423" s="4">
        <f t="shared" si="13"/>
        <v>189</v>
      </c>
      <c r="V423" s="5">
        <v>0.624</v>
      </c>
      <c r="W423" s="6">
        <v>0.73</v>
      </c>
      <c r="AU423" s="3" t="s">
        <v>73</v>
      </c>
      <c r="AW423" s="2" t="s">
        <v>74</v>
      </c>
      <c r="AZ423" t="s">
        <v>1398</v>
      </c>
      <c r="BB423" s="7" t="str">
        <f>HYPERLINK("HTTPS://V360.IN/DIAMONDVIEW.ASPX?CID=MEET&amp;D=HN-37-79","HTTPS://V360.IN/DIAMONDVIEW.ASPX?CID=MEET&amp;D=HN-37-79")</f>
        <v>HTTPS://V360.IN/DIAMONDVIEW.ASPX?CID=MEET&amp;D=HN-37-79</v>
      </c>
    </row>
    <row r="424" ht="15.75" spans="1:54">
      <c r="A424" s="2" t="s">
        <v>1399</v>
      </c>
      <c r="B424" s="3" t="s">
        <v>63</v>
      </c>
      <c r="C424" s="2" t="s">
        <v>1152</v>
      </c>
      <c r="D424" s="2">
        <v>1.25</v>
      </c>
      <c r="E424" s="2" t="s">
        <v>119</v>
      </c>
      <c r="F424" s="2" t="s">
        <v>66</v>
      </c>
      <c r="G424" s="2" t="s">
        <v>67</v>
      </c>
      <c r="H424" s="2" t="s">
        <v>68</v>
      </c>
      <c r="I424" s="2" t="s">
        <v>68</v>
      </c>
      <c r="J424" s="2" t="s">
        <v>70</v>
      </c>
      <c r="L424" s="2" t="s">
        <v>1400</v>
      </c>
      <c r="O424" t="s">
        <v>72</v>
      </c>
      <c r="P424" s="2">
        <v>539217267</v>
      </c>
      <c r="R424" s="2">
        <v>7200</v>
      </c>
      <c r="S424" s="4">
        <f t="shared" si="12"/>
        <v>9000</v>
      </c>
      <c r="T424" s="4">
        <v>-97</v>
      </c>
      <c r="U424" s="4">
        <f t="shared" si="13"/>
        <v>270</v>
      </c>
      <c r="V424" s="5">
        <v>0.688</v>
      </c>
      <c r="W424" s="6">
        <v>0.64</v>
      </c>
      <c r="AU424" s="3" t="s">
        <v>73</v>
      </c>
      <c r="AW424" s="2" t="s">
        <v>74</v>
      </c>
      <c r="AZ424" t="s">
        <v>1401</v>
      </c>
      <c r="BB424" s="7" t="str">
        <f>HYPERLINK("https://v360.in/diamondview.aspx?cid=meet&amp;d=HN-67-56","https://v360.in/diamondview.aspx?cid=meet&amp;d=HN-67-56")</f>
        <v>https://v360.in/diamondview.aspx?cid=meet&amp;d=HN-67-56</v>
      </c>
    </row>
    <row r="425" ht="15.75" spans="1:54">
      <c r="A425" s="2" t="s">
        <v>1402</v>
      </c>
      <c r="B425" s="3" t="s">
        <v>63</v>
      </c>
      <c r="C425" s="2" t="s">
        <v>1152</v>
      </c>
      <c r="D425" s="2">
        <v>1.25</v>
      </c>
      <c r="E425" s="2" t="s">
        <v>63</v>
      </c>
      <c r="F425" s="2" t="s">
        <v>155</v>
      </c>
      <c r="G425" s="2" t="s">
        <v>67</v>
      </c>
      <c r="H425" s="2" t="s">
        <v>69</v>
      </c>
      <c r="I425" s="2" t="s">
        <v>69</v>
      </c>
      <c r="J425" s="2" t="s">
        <v>70</v>
      </c>
      <c r="L425" s="2" t="s">
        <v>1403</v>
      </c>
      <c r="O425" t="s">
        <v>72</v>
      </c>
      <c r="P425" s="2">
        <v>467147643</v>
      </c>
      <c r="R425" s="2">
        <v>5400</v>
      </c>
      <c r="S425" s="4">
        <f t="shared" si="12"/>
        <v>6750</v>
      </c>
      <c r="T425" s="4">
        <v>-97</v>
      </c>
      <c r="U425" s="4">
        <f t="shared" si="13"/>
        <v>202.5</v>
      </c>
      <c r="V425" s="5">
        <v>0.691</v>
      </c>
      <c r="W425" s="6">
        <v>0.68</v>
      </c>
      <c r="AU425" s="3" t="s">
        <v>73</v>
      </c>
      <c r="AW425" s="2" t="s">
        <v>74</v>
      </c>
      <c r="AZ425" t="s">
        <v>1404</v>
      </c>
      <c r="BB425" s="7" t="str">
        <f>HYPERLINK("http://view.gem360.in/gem360/0605210605-HN-33-32/gem360-0605210605-HN-33-32.html","http://view.gem360.in/gem360/0605210605-HN-33-32/gem360-0605210605-HN-33-32.html")</f>
        <v>http://view.gem360.in/gem360/0605210605-HN-33-32/gem360-0605210605-HN-33-32.html</v>
      </c>
    </row>
    <row r="426" ht="15.75" spans="1:54">
      <c r="A426" s="2" t="s">
        <v>1405</v>
      </c>
      <c r="B426" s="3" t="s">
        <v>63</v>
      </c>
      <c r="C426" s="2" t="s">
        <v>1152</v>
      </c>
      <c r="D426" s="2">
        <v>1.24</v>
      </c>
      <c r="E426" s="2" t="s">
        <v>119</v>
      </c>
      <c r="F426" s="2" t="s">
        <v>66</v>
      </c>
      <c r="G426" s="2" t="s">
        <v>67</v>
      </c>
      <c r="H426" s="2" t="s">
        <v>68</v>
      </c>
      <c r="I426" s="2" t="s">
        <v>68</v>
      </c>
      <c r="J426" s="2" t="s">
        <v>70</v>
      </c>
      <c r="L426" s="2" t="s">
        <v>1406</v>
      </c>
      <c r="O426" t="s">
        <v>72</v>
      </c>
      <c r="P426" s="2">
        <v>559298589</v>
      </c>
      <c r="R426" s="2">
        <v>7200</v>
      </c>
      <c r="S426" s="4">
        <f t="shared" si="12"/>
        <v>8928</v>
      </c>
      <c r="T426" s="4">
        <v>-97</v>
      </c>
      <c r="U426" s="4">
        <f t="shared" si="13"/>
        <v>267.84</v>
      </c>
      <c r="V426" s="5">
        <v>0.694</v>
      </c>
      <c r="W426" s="2">
        <v>63</v>
      </c>
      <c r="AU426" s="3" t="s">
        <v>73</v>
      </c>
      <c r="AW426" s="2" t="s">
        <v>74</v>
      </c>
      <c r="AZ426" t="s">
        <v>1407</v>
      </c>
      <c r="BB426" s="7" t="str">
        <f>HYPERLINK("https://v360.in/diamondview.aspx?cid=preet&amp;d=HN-129-4","https://v360.in/diamondview.aspx?cid=preet&amp;d=HN-129-4")</f>
        <v>https://v360.in/diamondview.aspx?cid=preet&amp;d=HN-129-4</v>
      </c>
    </row>
    <row r="427" ht="15.75" spans="1:54">
      <c r="A427" s="2" t="s">
        <v>1408</v>
      </c>
      <c r="B427" s="3" t="s">
        <v>63</v>
      </c>
      <c r="C427" s="2" t="s">
        <v>1152</v>
      </c>
      <c r="D427" s="2">
        <v>1.23</v>
      </c>
      <c r="E427" s="2" t="s">
        <v>63</v>
      </c>
      <c r="F427" s="2" t="s">
        <v>91</v>
      </c>
      <c r="G427" s="2" t="s">
        <v>67</v>
      </c>
      <c r="H427" s="2" t="s">
        <v>68</v>
      </c>
      <c r="I427" s="2" t="s">
        <v>68</v>
      </c>
      <c r="J427" s="2" t="s">
        <v>70</v>
      </c>
      <c r="L427" s="2" t="s">
        <v>1409</v>
      </c>
      <c r="O427" t="s">
        <v>72</v>
      </c>
      <c r="P427" s="2">
        <v>570370833</v>
      </c>
      <c r="R427" s="2">
        <v>7000</v>
      </c>
      <c r="S427" s="4">
        <f t="shared" si="12"/>
        <v>8610</v>
      </c>
      <c r="T427" s="4">
        <v>-97</v>
      </c>
      <c r="U427" s="4">
        <f t="shared" si="13"/>
        <v>258.3</v>
      </c>
      <c r="V427" s="5">
        <v>0.634</v>
      </c>
      <c r="W427" s="6">
        <v>0.72</v>
      </c>
      <c r="AU427" s="3" t="s">
        <v>73</v>
      </c>
      <c r="AW427" s="2" t="s">
        <v>93</v>
      </c>
      <c r="AZ427" t="s">
        <v>1410</v>
      </c>
      <c r="BB427" s="7" t="str">
        <f>HYPERLINK("https://v360.in/diamondview.aspx?cid=preet&amp;d=HN-147-15","https://v360.in/diamondview.aspx?cid=preet&amp;d=HN-147-15")</f>
        <v>https://v360.in/diamondview.aspx?cid=preet&amp;d=HN-147-15</v>
      </c>
    </row>
    <row r="428" ht="15.75" spans="1:54">
      <c r="A428" s="2" t="s">
        <v>1411</v>
      </c>
      <c r="B428" s="3" t="s">
        <v>63</v>
      </c>
      <c r="C428" s="2" t="s">
        <v>1152</v>
      </c>
      <c r="D428" s="2">
        <v>1.21</v>
      </c>
      <c r="E428" s="2" t="s">
        <v>63</v>
      </c>
      <c r="F428" s="2" t="s">
        <v>91</v>
      </c>
      <c r="G428" s="2" t="s">
        <v>67</v>
      </c>
      <c r="H428" s="2" t="s">
        <v>68</v>
      </c>
      <c r="I428" s="2" t="s">
        <v>68</v>
      </c>
      <c r="J428" s="2" t="s">
        <v>70</v>
      </c>
      <c r="L428" s="2" t="s">
        <v>1412</v>
      </c>
      <c r="O428" t="s">
        <v>72</v>
      </c>
      <c r="P428" s="2">
        <v>563201917</v>
      </c>
      <c r="R428" s="2">
        <v>7000</v>
      </c>
      <c r="S428" s="4">
        <f t="shared" si="12"/>
        <v>8470</v>
      </c>
      <c r="T428" s="4">
        <v>-97</v>
      </c>
      <c r="U428" s="4">
        <f t="shared" si="13"/>
        <v>254.1</v>
      </c>
      <c r="V428" s="5">
        <v>0.646</v>
      </c>
      <c r="W428" s="5">
        <v>0.615</v>
      </c>
      <c r="AU428" s="3" t="s">
        <v>73</v>
      </c>
      <c r="AW428" s="2" t="s">
        <v>93</v>
      </c>
      <c r="AZ428" t="s">
        <v>1413</v>
      </c>
      <c r="BB428" s="7" t="str">
        <f>HYPERLINK("https://v360.in/diamondview.aspx?cid=preet&amp;d=HN-134-2","https://v360.in/diamondview.aspx?cid=preet&amp;d=HN-134-2")</f>
        <v>https://v360.in/diamondview.aspx?cid=preet&amp;d=HN-134-2</v>
      </c>
    </row>
    <row r="429" ht="15.75" spans="1:54">
      <c r="A429" s="2" t="s">
        <v>1414</v>
      </c>
      <c r="B429" s="3" t="s">
        <v>63</v>
      </c>
      <c r="C429" s="2" t="s">
        <v>1152</v>
      </c>
      <c r="D429" s="2">
        <v>1.21</v>
      </c>
      <c r="E429" s="2" t="s">
        <v>63</v>
      </c>
      <c r="F429" s="2" t="s">
        <v>91</v>
      </c>
      <c r="G429" s="2" t="s">
        <v>67</v>
      </c>
      <c r="H429" s="2" t="s">
        <v>68</v>
      </c>
      <c r="I429" s="2" t="s">
        <v>68</v>
      </c>
      <c r="J429" s="2" t="s">
        <v>70</v>
      </c>
      <c r="L429" s="2" t="s">
        <v>1415</v>
      </c>
      <c r="O429" t="s">
        <v>72</v>
      </c>
      <c r="P429" s="2">
        <v>570376233</v>
      </c>
      <c r="R429" s="2">
        <v>7000</v>
      </c>
      <c r="S429" s="4">
        <f t="shared" si="12"/>
        <v>8470</v>
      </c>
      <c r="T429" s="4">
        <v>-97</v>
      </c>
      <c r="U429" s="4">
        <f t="shared" si="13"/>
        <v>254.1</v>
      </c>
      <c r="V429" s="5">
        <v>0.641</v>
      </c>
      <c r="W429" s="5">
        <v>0.655</v>
      </c>
      <c r="AU429" s="3" t="s">
        <v>73</v>
      </c>
      <c r="AW429" s="2" t="s">
        <v>93</v>
      </c>
      <c r="AZ429" t="s">
        <v>1416</v>
      </c>
      <c r="BB429" s="7" t="str">
        <f>HYPERLINK("https://v360.in/diamondview.aspx?cid=preet&amp;d=HN-142-22","https://v360.in/diamondview.aspx?cid=preet&amp;d=HN-142-22")</f>
        <v>https://v360.in/diamondview.aspx?cid=preet&amp;d=HN-142-22</v>
      </c>
    </row>
    <row r="430" ht="15.75" spans="1:54">
      <c r="A430" s="2" t="s">
        <v>1417</v>
      </c>
      <c r="B430" s="3" t="s">
        <v>63</v>
      </c>
      <c r="C430" s="2" t="s">
        <v>1152</v>
      </c>
      <c r="D430" s="2">
        <v>1.2</v>
      </c>
      <c r="E430" s="2" t="s">
        <v>65</v>
      </c>
      <c r="F430" s="2" t="s">
        <v>143</v>
      </c>
      <c r="G430" s="2" t="s">
        <v>67</v>
      </c>
      <c r="H430" s="2" t="s">
        <v>68</v>
      </c>
      <c r="I430" s="2" t="s">
        <v>68</v>
      </c>
      <c r="J430" s="2" t="s">
        <v>70</v>
      </c>
      <c r="L430" s="2" t="s">
        <v>1418</v>
      </c>
      <c r="O430" t="s">
        <v>72</v>
      </c>
      <c r="P430" s="2">
        <v>569328542</v>
      </c>
      <c r="R430" s="2">
        <v>8000</v>
      </c>
      <c r="S430" s="4">
        <f t="shared" si="12"/>
        <v>9600</v>
      </c>
      <c r="T430" s="4">
        <v>-97</v>
      </c>
      <c r="U430" s="4">
        <f t="shared" si="13"/>
        <v>288</v>
      </c>
      <c r="V430" s="5">
        <v>0.617</v>
      </c>
      <c r="W430" s="5">
        <v>0.605</v>
      </c>
      <c r="AU430" s="3" t="s">
        <v>73</v>
      </c>
      <c r="AW430" s="2" t="s">
        <v>93</v>
      </c>
      <c r="AZ430" t="s">
        <v>1419</v>
      </c>
      <c r="BB430" s="7" t="str">
        <f>HYPERLINK("https://v360.in/diamondview.aspx?cid=preet&amp;d=HN-137-9","https://v360.in/diamondview.aspx?cid=preet&amp;d=HN-137-9")</f>
        <v>https://v360.in/diamondview.aspx?cid=preet&amp;d=HN-137-9</v>
      </c>
    </row>
    <row r="431" ht="15.75" spans="1:54">
      <c r="A431" s="2" t="s">
        <v>1420</v>
      </c>
      <c r="B431" s="3" t="s">
        <v>63</v>
      </c>
      <c r="C431" s="2" t="s">
        <v>1152</v>
      </c>
      <c r="D431" s="2">
        <v>1.2</v>
      </c>
      <c r="E431" s="2" t="s">
        <v>63</v>
      </c>
      <c r="F431" s="2" t="s">
        <v>91</v>
      </c>
      <c r="G431" s="2" t="s">
        <v>67</v>
      </c>
      <c r="H431" s="2" t="s">
        <v>68</v>
      </c>
      <c r="I431" s="2" t="s">
        <v>68</v>
      </c>
      <c r="J431" s="2" t="s">
        <v>70</v>
      </c>
      <c r="L431" s="2" t="s">
        <v>1421</v>
      </c>
      <c r="O431" t="s">
        <v>72</v>
      </c>
      <c r="P431" s="2">
        <v>569328547</v>
      </c>
      <c r="R431" s="2">
        <v>7000</v>
      </c>
      <c r="S431" s="4">
        <f t="shared" si="12"/>
        <v>8400</v>
      </c>
      <c r="T431" s="4">
        <v>-97</v>
      </c>
      <c r="U431" s="4">
        <f t="shared" si="13"/>
        <v>252</v>
      </c>
      <c r="V431" s="5">
        <v>0.683</v>
      </c>
      <c r="W431" s="6">
        <v>0.64</v>
      </c>
      <c r="AU431" s="3" t="s">
        <v>73</v>
      </c>
      <c r="AW431" s="2" t="s">
        <v>93</v>
      </c>
      <c r="AZ431" t="s">
        <v>1422</v>
      </c>
      <c r="BB431" s="7" t="str">
        <f>HYPERLINK("https://v360.in/diamondview.aspx?cid=preet&amp;d=HN-137-15","https://v360.in/diamondview.aspx?cid=preet&amp;d=HN-137-15")</f>
        <v>https://v360.in/diamondview.aspx?cid=preet&amp;d=HN-137-15</v>
      </c>
    </row>
    <row r="432" ht="15.75" spans="1:54">
      <c r="A432" s="2" t="s">
        <v>1423</v>
      </c>
      <c r="B432" s="3" t="s">
        <v>63</v>
      </c>
      <c r="C432" s="2" t="s">
        <v>1152</v>
      </c>
      <c r="D432" s="2">
        <v>1.2</v>
      </c>
      <c r="E432" s="2" t="s">
        <v>63</v>
      </c>
      <c r="F432" s="2" t="s">
        <v>155</v>
      </c>
      <c r="G432" s="2" t="s">
        <v>67</v>
      </c>
      <c r="H432" s="2" t="s">
        <v>68</v>
      </c>
      <c r="I432" s="2" t="s">
        <v>68</v>
      </c>
      <c r="J432" s="2" t="s">
        <v>70</v>
      </c>
      <c r="L432" s="2" t="s">
        <v>1424</v>
      </c>
      <c r="O432" t="s">
        <v>72</v>
      </c>
      <c r="P432" s="2">
        <v>564365285</v>
      </c>
      <c r="R432" s="2">
        <v>5400</v>
      </c>
      <c r="S432" s="4">
        <f t="shared" si="12"/>
        <v>6480</v>
      </c>
      <c r="T432" s="4">
        <v>-97</v>
      </c>
      <c r="U432" s="4">
        <f t="shared" si="13"/>
        <v>194.4</v>
      </c>
      <c r="V432" s="5">
        <v>0.691</v>
      </c>
      <c r="W432" s="6">
        <v>0.7</v>
      </c>
      <c r="AU432" s="3" t="s">
        <v>73</v>
      </c>
      <c r="AW432" s="2" t="s">
        <v>93</v>
      </c>
      <c r="AZ432" t="s">
        <v>1425</v>
      </c>
      <c r="BB432" s="7" t="str">
        <f>HYPERLINK("https://v360.in/diamondview.aspx?cid=preet&amp;d=HN-134-75","https://v360.in/diamondview.aspx?cid=preet&amp;d=HN-134-75")</f>
        <v>https://v360.in/diamondview.aspx?cid=preet&amp;d=HN-134-75</v>
      </c>
    </row>
    <row r="433" ht="15.75" spans="1:54">
      <c r="A433" s="2" t="s">
        <v>1426</v>
      </c>
      <c r="B433" s="3" t="s">
        <v>63</v>
      </c>
      <c r="C433" s="2" t="s">
        <v>1152</v>
      </c>
      <c r="D433" s="2">
        <v>1.19</v>
      </c>
      <c r="E433" s="2" t="s">
        <v>119</v>
      </c>
      <c r="F433" s="2" t="s">
        <v>671</v>
      </c>
      <c r="G433" s="2" t="s">
        <v>67</v>
      </c>
      <c r="H433" s="2" t="s">
        <v>68</v>
      </c>
      <c r="I433" s="2" t="s">
        <v>68</v>
      </c>
      <c r="J433" s="2" t="s">
        <v>70</v>
      </c>
      <c r="L433" s="2" t="s">
        <v>1427</v>
      </c>
      <c r="O433" t="s">
        <v>72</v>
      </c>
      <c r="P433" s="2">
        <v>561278585</v>
      </c>
      <c r="R433" s="2">
        <v>9400</v>
      </c>
      <c r="S433" s="4">
        <f t="shared" si="12"/>
        <v>11186</v>
      </c>
      <c r="T433" s="4">
        <v>-97</v>
      </c>
      <c r="U433" s="4">
        <f t="shared" si="13"/>
        <v>335.58</v>
      </c>
      <c r="V433" s="5">
        <v>0.705</v>
      </c>
      <c r="W433" s="2">
        <v>70</v>
      </c>
      <c r="AU433" s="3" t="s">
        <v>73</v>
      </c>
      <c r="AW433" s="2" t="s">
        <v>93</v>
      </c>
      <c r="AZ433" t="s">
        <v>1428</v>
      </c>
      <c r="BB433" s="7" t="str">
        <f>HYPERLINK("https://v360.in/diamondview.aspx?cid=preet&amp;d=HN-129-91","https://v360.in/diamondview.aspx?cid=preet&amp;d=HN-129-91")</f>
        <v>https://v360.in/diamondview.aspx?cid=preet&amp;d=HN-129-91</v>
      </c>
    </row>
    <row r="434" ht="15.75" spans="1:54">
      <c r="A434" s="2" t="s">
        <v>1429</v>
      </c>
      <c r="B434" s="3" t="s">
        <v>63</v>
      </c>
      <c r="C434" s="2" t="s">
        <v>1152</v>
      </c>
      <c r="D434" s="2">
        <v>1.19</v>
      </c>
      <c r="E434" s="2" t="s">
        <v>81</v>
      </c>
      <c r="F434" s="2" t="s">
        <v>155</v>
      </c>
      <c r="G434" s="2" t="s">
        <v>67</v>
      </c>
      <c r="H434" s="2" t="s">
        <v>68</v>
      </c>
      <c r="I434" s="2" t="s">
        <v>68</v>
      </c>
      <c r="J434" s="2" t="s">
        <v>70</v>
      </c>
      <c r="L434" s="2" t="s">
        <v>1430</v>
      </c>
      <c r="O434" t="s">
        <v>72</v>
      </c>
      <c r="P434" s="2">
        <v>464109432</v>
      </c>
      <c r="R434" s="2">
        <v>5000</v>
      </c>
      <c r="S434" s="4">
        <f t="shared" si="12"/>
        <v>5950</v>
      </c>
      <c r="T434" s="4">
        <v>-97</v>
      </c>
      <c r="U434" s="4">
        <f t="shared" si="13"/>
        <v>178.5</v>
      </c>
      <c r="V434" s="5">
        <v>0.657</v>
      </c>
      <c r="W434" s="5">
        <v>0.645</v>
      </c>
      <c r="AU434" s="3" t="s">
        <v>73</v>
      </c>
      <c r="AW434" s="2" t="s">
        <v>74</v>
      </c>
      <c r="AZ434" t="s">
        <v>1431</v>
      </c>
      <c r="BB434" s="7" t="str">
        <f>HYPERLINK("","")</f>
        <v/>
      </c>
    </row>
    <row r="435" ht="15.75" spans="1:54">
      <c r="A435" s="2" t="s">
        <v>1432</v>
      </c>
      <c r="B435" s="3" t="s">
        <v>63</v>
      </c>
      <c r="C435" s="2" t="s">
        <v>1152</v>
      </c>
      <c r="D435" s="2">
        <v>1.17</v>
      </c>
      <c r="E435" s="2" t="s">
        <v>65</v>
      </c>
      <c r="F435" s="2" t="s">
        <v>91</v>
      </c>
      <c r="G435" s="2" t="s">
        <v>67</v>
      </c>
      <c r="H435" s="2" t="s">
        <v>68</v>
      </c>
      <c r="I435" s="2" t="s">
        <v>68</v>
      </c>
      <c r="J435" s="2" t="s">
        <v>70</v>
      </c>
      <c r="L435" s="2" t="s">
        <v>1433</v>
      </c>
      <c r="O435" t="s">
        <v>72</v>
      </c>
      <c r="P435" s="2">
        <v>567356402</v>
      </c>
      <c r="R435" s="2">
        <v>7500</v>
      </c>
      <c r="S435" s="4">
        <f t="shared" si="12"/>
        <v>8775</v>
      </c>
      <c r="T435" s="4">
        <v>-97</v>
      </c>
      <c r="U435" s="4">
        <f t="shared" si="13"/>
        <v>263.25</v>
      </c>
      <c r="V435" s="5">
        <v>0.632</v>
      </c>
      <c r="W435" s="6">
        <v>0.69</v>
      </c>
      <c r="AU435" s="3" t="s">
        <v>73</v>
      </c>
      <c r="AW435" s="2" t="s">
        <v>93</v>
      </c>
      <c r="AZ435" t="s">
        <v>1434</v>
      </c>
      <c r="BB435" s="7" t="str">
        <f>HYPERLINK("https://v360.in/diamondview.aspx?cid=preet&amp;d=HN-136-43","https://v360.in/diamondview.aspx?cid=preet&amp;d=HN-136-43")</f>
        <v>https://v360.in/diamondview.aspx?cid=preet&amp;d=HN-136-43</v>
      </c>
    </row>
    <row r="436" ht="15.75" spans="1:54">
      <c r="A436" s="2" t="s">
        <v>1435</v>
      </c>
      <c r="B436" s="3" t="s">
        <v>63</v>
      </c>
      <c r="C436" s="2" t="s">
        <v>1152</v>
      </c>
      <c r="D436" s="2">
        <v>1.17</v>
      </c>
      <c r="E436" s="2" t="s">
        <v>81</v>
      </c>
      <c r="F436" s="2" t="s">
        <v>91</v>
      </c>
      <c r="G436" s="2" t="s">
        <v>67</v>
      </c>
      <c r="H436" s="2" t="s">
        <v>68</v>
      </c>
      <c r="I436" s="2" t="s">
        <v>68</v>
      </c>
      <c r="J436" s="2" t="s">
        <v>70</v>
      </c>
      <c r="L436" s="2" t="s">
        <v>1436</v>
      </c>
      <c r="O436" t="s">
        <v>72</v>
      </c>
      <c r="P436" s="2">
        <v>520208299</v>
      </c>
      <c r="R436" s="2">
        <v>6000</v>
      </c>
      <c r="S436" s="4">
        <f t="shared" si="12"/>
        <v>7020</v>
      </c>
      <c r="T436" s="4">
        <v>-97</v>
      </c>
      <c r="U436" s="4">
        <f t="shared" si="13"/>
        <v>210.6</v>
      </c>
      <c r="V436" s="5">
        <v>0.719</v>
      </c>
      <c r="W436" s="6">
        <v>0.69</v>
      </c>
      <c r="AU436" s="3" t="s">
        <v>73</v>
      </c>
      <c r="AW436" s="2" t="s">
        <v>74</v>
      </c>
      <c r="AZ436" t="s">
        <v>1437</v>
      </c>
      <c r="BB436" s="7" t="str">
        <f>HYPERLINK("HTTPS://V360.IN/DIAMONDVIEW.ASPX?CID=MEET&amp;D=HN-39-122","HTTPS://V360.IN/DIAMONDVIEW.ASPX?CID=MEET&amp;D=HN-39-122")</f>
        <v>HTTPS://V360.IN/DIAMONDVIEW.ASPX?CID=MEET&amp;D=HN-39-122</v>
      </c>
    </row>
    <row r="437" ht="15.75" spans="1:54">
      <c r="A437" s="2" t="s">
        <v>1438</v>
      </c>
      <c r="B437" s="3" t="s">
        <v>63</v>
      </c>
      <c r="C437" s="2" t="s">
        <v>1152</v>
      </c>
      <c r="D437" s="2">
        <v>1.16</v>
      </c>
      <c r="E437" s="2" t="s">
        <v>63</v>
      </c>
      <c r="F437" s="2" t="s">
        <v>143</v>
      </c>
      <c r="G437" s="2" t="s">
        <v>67</v>
      </c>
      <c r="H437" s="2" t="s">
        <v>68</v>
      </c>
      <c r="I437" s="2" t="s">
        <v>68</v>
      </c>
      <c r="J437" s="2" t="s">
        <v>70</v>
      </c>
      <c r="L437" s="2" t="s">
        <v>1439</v>
      </c>
      <c r="O437" t="s">
        <v>72</v>
      </c>
      <c r="P437" s="2">
        <v>569328544</v>
      </c>
      <c r="R437" s="2">
        <v>7300</v>
      </c>
      <c r="S437" s="4">
        <f t="shared" si="12"/>
        <v>8468</v>
      </c>
      <c r="T437" s="4">
        <v>-97</v>
      </c>
      <c r="U437" s="4">
        <f t="shared" si="13"/>
        <v>254.04</v>
      </c>
      <c r="V437" s="5">
        <v>0.648</v>
      </c>
      <c r="W437" s="5">
        <v>0.645</v>
      </c>
      <c r="AU437" s="3" t="s">
        <v>73</v>
      </c>
      <c r="AW437" s="2" t="s">
        <v>93</v>
      </c>
      <c r="AZ437" t="s">
        <v>1440</v>
      </c>
      <c r="BB437" s="7" t="str">
        <f>HYPERLINK("https://v360.in/diamondview.aspx?cid=preet&amp;d=HN-137-11","https://v360.in/diamondview.aspx?cid=preet&amp;d=HN-137-11")</f>
        <v>https://v360.in/diamondview.aspx?cid=preet&amp;d=HN-137-11</v>
      </c>
    </row>
    <row r="438" ht="15.75" spans="1:54">
      <c r="A438" s="2" t="s">
        <v>1441</v>
      </c>
      <c r="B438" s="3" t="s">
        <v>63</v>
      </c>
      <c r="C438" s="2" t="s">
        <v>1152</v>
      </c>
      <c r="D438" s="2">
        <v>1.15</v>
      </c>
      <c r="E438" s="2" t="s">
        <v>63</v>
      </c>
      <c r="F438" s="2" t="s">
        <v>66</v>
      </c>
      <c r="G438" s="2" t="s">
        <v>67</v>
      </c>
      <c r="H438" s="2" t="s">
        <v>68</v>
      </c>
      <c r="I438" s="2" t="s">
        <v>68</v>
      </c>
      <c r="J438" s="2" t="s">
        <v>70</v>
      </c>
      <c r="L438" s="2" t="s">
        <v>1442</v>
      </c>
      <c r="O438" t="s">
        <v>72</v>
      </c>
      <c r="P438" s="2">
        <v>528205274</v>
      </c>
      <c r="R438" s="2">
        <v>6600</v>
      </c>
      <c r="S438" s="4">
        <f t="shared" si="12"/>
        <v>7590</v>
      </c>
      <c r="T438" s="4">
        <v>-97</v>
      </c>
      <c r="U438" s="4">
        <f t="shared" si="13"/>
        <v>227.7</v>
      </c>
      <c r="V438" s="5">
        <v>0.628</v>
      </c>
      <c r="W438" s="5">
        <v>0.685</v>
      </c>
      <c r="AU438" s="3" t="s">
        <v>73</v>
      </c>
      <c r="AW438" s="2" t="s">
        <v>74</v>
      </c>
      <c r="AZ438" t="s">
        <v>1443</v>
      </c>
      <c r="BB438" s="7" t="str">
        <f>HYPERLINK("","")</f>
        <v/>
      </c>
    </row>
    <row r="439" ht="15.75" spans="1:54">
      <c r="A439" s="2" t="s">
        <v>1444</v>
      </c>
      <c r="B439" s="3" t="s">
        <v>63</v>
      </c>
      <c r="C439" s="2" t="s">
        <v>1152</v>
      </c>
      <c r="D439" s="2">
        <v>1.15</v>
      </c>
      <c r="E439" s="2" t="s">
        <v>63</v>
      </c>
      <c r="F439" s="2" t="s">
        <v>91</v>
      </c>
      <c r="G439" s="2" t="s">
        <v>67</v>
      </c>
      <c r="H439" s="2" t="s">
        <v>68</v>
      </c>
      <c r="I439" s="2" t="s">
        <v>68</v>
      </c>
      <c r="J439" s="2" t="s">
        <v>70</v>
      </c>
      <c r="L439" s="2" t="s">
        <v>1445</v>
      </c>
      <c r="O439" t="s">
        <v>72</v>
      </c>
      <c r="P439" s="2">
        <v>570370834</v>
      </c>
      <c r="R439" s="2">
        <v>7000</v>
      </c>
      <c r="S439" s="4">
        <f t="shared" si="12"/>
        <v>8050</v>
      </c>
      <c r="T439" s="4">
        <v>-97</v>
      </c>
      <c r="U439" s="4">
        <f t="shared" si="13"/>
        <v>241.5</v>
      </c>
      <c r="V439" s="5">
        <v>0.687</v>
      </c>
      <c r="W439" s="6">
        <v>0.64</v>
      </c>
      <c r="AU439" s="3" t="s">
        <v>73</v>
      </c>
      <c r="AW439" s="2" t="s">
        <v>93</v>
      </c>
      <c r="AZ439" t="s">
        <v>1446</v>
      </c>
      <c r="BB439" s="7" t="str">
        <f>HYPERLINK("https://v360.in/diamondview.aspx?cid=preet&amp;d=HN-147-11","https://v360.in/diamondview.aspx?cid=preet&amp;d=HN-147-11")</f>
        <v>https://v360.in/diamondview.aspx?cid=preet&amp;d=HN-147-11</v>
      </c>
    </row>
    <row r="440" ht="15.75" spans="1:54">
      <c r="A440" s="2" t="s">
        <v>1447</v>
      </c>
      <c r="B440" s="3" t="s">
        <v>63</v>
      </c>
      <c r="C440" s="2" t="s">
        <v>1152</v>
      </c>
      <c r="D440" s="2">
        <v>1.13</v>
      </c>
      <c r="E440" s="2" t="s">
        <v>65</v>
      </c>
      <c r="F440" s="2" t="s">
        <v>91</v>
      </c>
      <c r="G440" s="2" t="s">
        <v>67</v>
      </c>
      <c r="H440" s="2" t="s">
        <v>68</v>
      </c>
      <c r="I440" s="2" t="s">
        <v>68</v>
      </c>
      <c r="J440" s="2" t="s">
        <v>70</v>
      </c>
      <c r="L440" s="2" t="s">
        <v>1448</v>
      </c>
      <c r="O440" t="s">
        <v>72</v>
      </c>
      <c r="P440" s="2">
        <v>551291810</v>
      </c>
      <c r="R440" s="2">
        <v>7500</v>
      </c>
      <c r="S440" s="4">
        <f t="shared" si="12"/>
        <v>8475</v>
      </c>
      <c r="T440" s="4">
        <v>-97</v>
      </c>
      <c r="U440" s="4">
        <f t="shared" si="13"/>
        <v>254.25</v>
      </c>
      <c r="V440" s="5">
        <v>0.647</v>
      </c>
      <c r="W440" s="5">
        <v>0.685</v>
      </c>
      <c r="AU440" s="3" t="s">
        <v>73</v>
      </c>
      <c r="AW440" s="2" t="s">
        <v>74</v>
      </c>
      <c r="AZ440" t="s">
        <v>1449</v>
      </c>
      <c r="BB440" s="7" t="str">
        <f>HYPERLINK("https://v360.in/diamondview.aspx?cid=preet&amp;d=HN-105-14","https://v360.in/diamondview.aspx?cid=preet&amp;d=HN-105-14")</f>
        <v>https://v360.in/diamondview.aspx?cid=preet&amp;d=HN-105-14</v>
      </c>
    </row>
    <row r="441" ht="15.75" spans="1:54">
      <c r="A441" s="2" t="s">
        <v>1450</v>
      </c>
      <c r="B441" s="3" t="s">
        <v>63</v>
      </c>
      <c r="C441" s="2" t="s">
        <v>1152</v>
      </c>
      <c r="D441" s="2">
        <v>1.13</v>
      </c>
      <c r="E441" s="2" t="s">
        <v>65</v>
      </c>
      <c r="F441" s="2" t="s">
        <v>91</v>
      </c>
      <c r="G441" s="2" t="s">
        <v>67</v>
      </c>
      <c r="H441" s="2" t="s">
        <v>68</v>
      </c>
      <c r="I441" s="2" t="s">
        <v>68</v>
      </c>
      <c r="J441" s="2" t="s">
        <v>70</v>
      </c>
      <c r="L441" s="2" t="s">
        <v>1451</v>
      </c>
      <c r="O441" t="s">
        <v>72</v>
      </c>
      <c r="P441" s="2">
        <v>563201918</v>
      </c>
      <c r="R441" s="2">
        <v>7500</v>
      </c>
      <c r="S441" s="4">
        <f t="shared" si="12"/>
        <v>8475</v>
      </c>
      <c r="T441" s="4">
        <v>-97</v>
      </c>
      <c r="U441" s="4">
        <f t="shared" si="13"/>
        <v>254.25</v>
      </c>
      <c r="V441" s="5">
        <v>0.641</v>
      </c>
      <c r="W441" s="5">
        <v>0.675</v>
      </c>
      <c r="AU441" s="3" t="s">
        <v>73</v>
      </c>
      <c r="AW441" s="2" t="s">
        <v>93</v>
      </c>
      <c r="AZ441" t="s">
        <v>1452</v>
      </c>
      <c r="BB441" s="7" t="str">
        <f>HYPERLINK("https://v360.in/diamondview.aspx?cid=preet&amp;d=HN-134-24","https://v360.in/diamondview.aspx?cid=preet&amp;d=HN-134-24")</f>
        <v>https://v360.in/diamondview.aspx?cid=preet&amp;d=HN-134-24</v>
      </c>
    </row>
    <row r="442" ht="15.75" spans="1:54">
      <c r="A442" s="2" t="s">
        <v>1453</v>
      </c>
      <c r="B442" s="3" t="s">
        <v>63</v>
      </c>
      <c r="C442" s="2" t="s">
        <v>1152</v>
      </c>
      <c r="D442" s="2">
        <v>1.12</v>
      </c>
      <c r="E442" s="2" t="s">
        <v>119</v>
      </c>
      <c r="F442" s="2" t="s">
        <v>91</v>
      </c>
      <c r="G442" s="2" t="s">
        <v>67</v>
      </c>
      <c r="H442" s="2" t="s">
        <v>68</v>
      </c>
      <c r="I442" s="2" t="s">
        <v>68</v>
      </c>
      <c r="J442" s="2" t="s">
        <v>70</v>
      </c>
      <c r="L442" s="2" t="s">
        <v>1454</v>
      </c>
      <c r="O442" t="s">
        <v>72</v>
      </c>
      <c r="P442" s="2">
        <v>571301008</v>
      </c>
      <c r="R442" s="2">
        <v>8000</v>
      </c>
      <c r="S442" s="4">
        <f t="shared" si="12"/>
        <v>8960</v>
      </c>
      <c r="T442" s="4">
        <v>-97</v>
      </c>
      <c r="U442" s="4">
        <f t="shared" si="13"/>
        <v>268.8</v>
      </c>
      <c r="V442" s="5">
        <v>0.684</v>
      </c>
      <c r="W442" s="5">
        <v>0.655</v>
      </c>
      <c r="AU442" s="3" t="s">
        <v>73</v>
      </c>
      <c r="AW442" s="2" t="s">
        <v>93</v>
      </c>
      <c r="AZ442" t="s">
        <v>1455</v>
      </c>
      <c r="BB442" s="7" t="s">
        <v>1456</v>
      </c>
    </row>
    <row r="443" ht="15.75" spans="1:54">
      <c r="A443" s="2" t="s">
        <v>1457</v>
      </c>
      <c r="B443" s="3" t="s">
        <v>63</v>
      </c>
      <c r="C443" s="2" t="s">
        <v>1152</v>
      </c>
      <c r="D443" s="2">
        <v>1.12</v>
      </c>
      <c r="E443" s="2" t="s">
        <v>63</v>
      </c>
      <c r="F443" s="2" t="s">
        <v>66</v>
      </c>
      <c r="G443" s="2" t="s">
        <v>67</v>
      </c>
      <c r="H443" s="2" t="s">
        <v>68</v>
      </c>
      <c r="I443" s="2" t="s">
        <v>68</v>
      </c>
      <c r="J443" s="2" t="s">
        <v>70</v>
      </c>
      <c r="L443" s="2" t="s">
        <v>1458</v>
      </c>
      <c r="O443" t="s">
        <v>72</v>
      </c>
      <c r="P443" s="2">
        <v>524248720</v>
      </c>
      <c r="R443" s="2">
        <v>6600</v>
      </c>
      <c r="S443" s="4">
        <f t="shared" si="12"/>
        <v>7392</v>
      </c>
      <c r="T443" s="4">
        <v>-97</v>
      </c>
      <c r="U443" s="4">
        <f t="shared" si="13"/>
        <v>221.76</v>
      </c>
      <c r="V443" s="5">
        <v>0.674</v>
      </c>
      <c r="W443" s="5">
        <v>0.745</v>
      </c>
      <c r="AU443" s="3" t="s">
        <v>73</v>
      </c>
      <c r="AW443" s="2" t="s">
        <v>74</v>
      </c>
      <c r="AZ443" t="s">
        <v>1459</v>
      </c>
      <c r="BB443" s="7" t="str">
        <f>HYPERLINK("https://view.gem360.in/gem360/1105221107-HN43-180/gem360-1105221107-HN43-180.html","https://view.gem360.in/gem360/1105221107-HN43-180/gem360-1105221107-HN43-180.html")</f>
        <v>https://view.gem360.in/gem360/1105221107-HN43-180/gem360-1105221107-HN43-180.html</v>
      </c>
    </row>
    <row r="444" ht="15.75" spans="1:54">
      <c r="A444" s="2" t="s">
        <v>1460</v>
      </c>
      <c r="B444" s="3" t="s">
        <v>63</v>
      </c>
      <c r="C444" s="2" t="s">
        <v>1152</v>
      </c>
      <c r="D444" s="2">
        <v>1.12</v>
      </c>
      <c r="E444" s="2" t="s">
        <v>81</v>
      </c>
      <c r="F444" s="2" t="s">
        <v>91</v>
      </c>
      <c r="G444" s="2" t="s">
        <v>67</v>
      </c>
      <c r="H444" s="2" t="s">
        <v>68</v>
      </c>
      <c r="I444" s="2" t="s">
        <v>68</v>
      </c>
      <c r="J444" s="2" t="s">
        <v>70</v>
      </c>
      <c r="L444" s="2" t="s">
        <v>1461</v>
      </c>
      <c r="O444" t="s">
        <v>72</v>
      </c>
      <c r="P444" s="2">
        <v>570376203</v>
      </c>
      <c r="R444" s="2">
        <v>6000</v>
      </c>
      <c r="S444" s="4">
        <f t="shared" si="12"/>
        <v>6720</v>
      </c>
      <c r="T444" s="4">
        <v>-97</v>
      </c>
      <c r="U444" s="4">
        <f t="shared" si="13"/>
        <v>201.6</v>
      </c>
      <c r="V444" s="6">
        <v>0.63</v>
      </c>
      <c r="W444" s="6">
        <v>0.64</v>
      </c>
      <c r="AU444" s="3" t="s">
        <v>73</v>
      </c>
      <c r="AW444" s="2" t="s">
        <v>93</v>
      </c>
      <c r="AZ444" t="s">
        <v>1462</v>
      </c>
      <c r="BB444" s="7" t="str">
        <f>HYPERLINK("https://v360.in/diamondview.aspx?cid=preet&amp;d=HN-148-11","https://v360.in/diamondview.aspx?cid=preet&amp;d=HN-148-11")</f>
        <v>https://v360.in/diamondview.aspx?cid=preet&amp;d=HN-148-11</v>
      </c>
    </row>
    <row r="445" ht="15.75" spans="1:54">
      <c r="A445" s="2" t="s">
        <v>1463</v>
      </c>
      <c r="B445" s="3" t="s">
        <v>63</v>
      </c>
      <c r="C445" s="2" t="s">
        <v>1152</v>
      </c>
      <c r="D445" s="2">
        <v>1.11</v>
      </c>
      <c r="E445" s="2" t="s">
        <v>65</v>
      </c>
      <c r="F445" s="2" t="s">
        <v>91</v>
      </c>
      <c r="G445" s="2" t="s">
        <v>67</v>
      </c>
      <c r="H445" s="2" t="s">
        <v>68</v>
      </c>
      <c r="I445" s="2" t="s">
        <v>68</v>
      </c>
      <c r="J445" s="2" t="s">
        <v>70</v>
      </c>
      <c r="L445" s="2" t="s">
        <v>1464</v>
      </c>
      <c r="O445" t="s">
        <v>72</v>
      </c>
      <c r="P445" s="2">
        <v>570370817</v>
      </c>
      <c r="R445" s="2">
        <v>7500</v>
      </c>
      <c r="S445" s="4">
        <f t="shared" si="12"/>
        <v>8325</v>
      </c>
      <c r="T445" s="4">
        <v>-97</v>
      </c>
      <c r="U445" s="4">
        <f t="shared" si="13"/>
        <v>249.75</v>
      </c>
      <c r="V445" s="5">
        <v>0.655</v>
      </c>
      <c r="W445" s="6">
        <v>0.68</v>
      </c>
      <c r="AU445" s="3" t="s">
        <v>73</v>
      </c>
      <c r="AW445" s="2" t="s">
        <v>93</v>
      </c>
      <c r="AZ445" t="s">
        <v>1465</v>
      </c>
      <c r="BB445" s="7" t="str">
        <f>HYPERLINK("https://v360.in/diamondview.aspx?cid=preet&amp;d=HN-149-2","https://v360.in/diamondview.aspx?cid=preet&amp;d=HN-149-2")</f>
        <v>https://v360.in/diamondview.aspx?cid=preet&amp;d=HN-149-2</v>
      </c>
    </row>
    <row r="446" ht="15.75" spans="1:54">
      <c r="A446" s="2" t="s">
        <v>1466</v>
      </c>
      <c r="B446" s="3" t="s">
        <v>63</v>
      </c>
      <c r="C446" s="2" t="s">
        <v>1152</v>
      </c>
      <c r="D446" s="2">
        <v>1.11</v>
      </c>
      <c r="E446" s="2" t="s">
        <v>63</v>
      </c>
      <c r="F446" s="2" t="s">
        <v>91</v>
      </c>
      <c r="G446" s="2" t="s">
        <v>67</v>
      </c>
      <c r="H446" s="2" t="s">
        <v>68</v>
      </c>
      <c r="I446" s="2" t="s">
        <v>68</v>
      </c>
      <c r="J446" s="2" t="s">
        <v>70</v>
      </c>
      <c r="L446" s="2" t="s">
        <v>1467</v>
      </c>
      <c r="O446" t="s">
        <v>72</v>
      </c>
      <c r="P446" s="2">
        <v>571307669</v>
      </c>
      <c r="R446" s="2">
        <v>7000</v>
      </c>
      <c r="S446" s="4">
        <f t="shared" si="12"/>
        <v>7770</v>
      </c>
      <c r="T446" s="4">
        <v>-97</v>
      </c>
      <c r="U446" s="4">
        <f t="shared" si="13"/>
        <v>233.1</v>
      </c>
      <c r="V446" s="5">
        <v>0.672</v>
      </c>
      <c r="W446" s="6">
        <v>0.64</v>
      </c>
      <c r="AU446" s="3" t="s">
        <v>73</v>
      </c>
      <c r="AW446" s="2" t="s">
        <v>93</v>
      </c>
      <c r="AZ446" t="s">
        <v>1468</v>
      </c>
      <c r="BB446" s="7" t="s">
        <v>1469</v>
      </c>
    </row>
    <row r="447" ht="15.75" spans="1:54">
      <c r="A447" s="2" t="s">
        <v>1470</v>
      </c>
      <c r="B447" s="3" t="s">
        <v>63</v>
      </c>
      <c r="C447" s="2" t="s">
        <v>1152</v>
      </c>
      <c r="D447" s="2">
        <v>1.1</v>
      </c>
      <c r="E447" s="2" t="s">
        <v>65</v>
      </c>
      <c r="F447" s="2" t="s">
        <v>91</v>
      </c>
      <c r="G447" s="2" t="s">
        <v>67</v>
      </c>
      <c r="H447" s="2" t="s">
        <v>68</v>
      </c>
      <c r="I447" s="2" t="s">
        <v>68</v>
      </c>
      <c r="J447" s="2" t="s">
        <v>70</v>
      </c>
      <c r="L447" s="2" t="s">
        <v>1471</v>
      </c>
      <c r="O447" t="s">
        <v>72</v>
      </c>
      <c r="P447" s="2">
        <v>571301007</v>
      </c>
      <c r="R447" s="2">
        <v>7500</v>
      </c>
      <c r="S447" s="4">
        <f t="shared" si="12"/>
        <v>8250</v>
      </c>
      <c r="T447" s="4">
        <v>-97</v>
      </c>
      <c r="U447" s="4">
        <f t="shared" si="13"/>
        <v>247.5</v>
      </c>
      <c r="V447" s="5">
        <v>0.696</v>
      </c>
      <c r="W447" s="5">
        <v>0.645</v>
      </c>
      <c r="AU447" s="3" t="s">
        <v>73</v>
      </c>
      <c r="AW447" s="2" t="s">
        <v>93</v>
      </c>
      <c r="AZ447" t="s">
        <v>1472</v>
      </c>
      <c r="BB447" s="7" t="s">
        <v>1473</v>
      </c>
    </row>
    <row r="448" ht="15.75" spans="1:54">
      <c r="A448" s="2" t="s">
        <v>1474</v>
      </c>
      <c r="B448" s="3" t="s">
        <v>63</v>
      </c>
      <c r="C448" s="2" t="s">
        <v>1152</v>
      </c>
      <c r="D448" s="2">
        <v>1.1</v>
      </c>
      <c r="E448" s="2" t="s">
        <v>81</v>
      </c>
      <c r="F448" s="2" t="s">
        <v>155</v>
      </c>
      <c r="G448" s="2" t="s">
        <v>67</v>
      </c>
      <c r="H448" s="2" t="s">
        <v>68</v>
      </c>
      <c r="I448" s="2" t="s">
        <v>68</v>
      </c>
      <c r="J448" s="2" t="s">
        <v>70</v>
      </c>
      <c r="L448" s="2" t="s">
        <v>1475</v>
      </c>
      <c r="O448" t="s">
        <v>72</v>
      </c>
      <c r="P448" s="2">
        <v>523298153</v>
      </c>
      <c r="R448" s="2">
        <v>5000</v>
      </c>
      <c r="S448" s="4">
        <f t="shared" si="12"/>
        <v>5500</v>
      </c>
      <c r="T448" s="4">
        <v>-97</v>
      </c>
      <c r="U448" s="4">
        <f t="shared" si="13"/>
        <v>165</v>
      </c>
      <c r="V448" s="5">
        <v>0.607</v>
      </c>
      <c r="W448" s="6">
        <v>0.69</v>
      </c>
      <c r="AU448" s="3" t="s">
        <v>73</v>
      </c>
      <c r="AW448" s="2" t="s">
        <v>74</v>
      </c>
      <c r="AZ448" t="s">
        <v>1476</v>
      </c>
      <c r="BB448" s="7" t="str">
        <f>HYPERLINK("https://view.gem360.in/gem360/2504220549-HN40-105/gem360-2504220549-HN40-105.html","https://view.gem360.in/gem360/2504220549-HN40-105/gem360-2504220549-HN40-105.html")</f>
        <v>https://view.gem360.in/gem360/2504220549-HN40-105/gem360-2504220549-HN40-105.html</v>
      </c>
    </row>
    <row r="449" ht="15.75" spans="1:54">
      <c r="A449" s="2" t="s">
        <v>1477</v>
      </c>
      <c r="B449" s="3" t="s">
        <v>63</v>
      </c>
      <c r="C449" s="2" t="s">
        <v>1152</v>
      </c>
      <c r="D449" s="2">
        <v>1.09</v>
      </c>
      <c r="E449" s="2" t="s">
        <v>119</v>
      </c>
      <c r="F449" s="2" t="s">
        <v>143</v>
      </c>
      <c r="G449" s="2" t="s">
        <v>67</v>
      </c>
      <c r="H449" s="2" t="s">
        <v>68</v>
      </c>
      <c r="I449" s="2" t="s">
        <v>68</v>
      </c>
      <c r="J449" s="2" t="s">
        <v>70</v>
      </c>
      <c r="L449" s="2" t="s">
        <v>1478</v>
      </c>
      <c r="O449" t="s">
        <v>72</v>
      </c>
      <c r="P449" s="2">
        <v>483113110</v>
      </c>
      <c r="R449" s="2">
        <v>8700</v>
      </c>
      <c r="S449" s="4">
        <f t="shared" si="12"/>
        <v>9483</v>
      </c>
      <c r="T449" s="4">
        <v>-97</v>
      </c>
      <c r="U449" s="4">
        <f t="shared" si="13"/>
        <v>284.49</v>
      </c>
      <c r="V449" s="5">
        <v>0.634</v>
      </c>
      <c r="W449" s="5">
        <v>0.675</v>
      </c>
      <c r="AU449" s="3" t="s">
        <v>73</v>
      </c>
      <c r="AW449" s="2" t="s">
        <v>74</v>
      </c>
      <c r="AZ449" t="s">
        <v>1479</v>
      </c>
      <c r="BB449" s="7" t="str">
        <f>HYPERLINK("http://view.gem360.in/gem360/2008210650-HW-5/gem360-2008210650-HW-5.html","http://view.gem360.in/gem360/2008210650-HW-5/gem360-2008210650-HW-5.html")</f>
        <v>http://view.gem360.in/gem360/2008210650-HW-5/gem360-2008210650-HW-5.html</v>
      </c>
    </row>
    <row r="450" ht="15.75" spans="1:54">
      <c r="A450" s="2" t="s">
        <v>1480</v>
      </c>
      <c r="B450" s="3" t="s">
        <v>63</v>
      </c>
      <c r="C450" s="2" t="s">
        <v>1152</v>
      </c>
      <c r="D450" s="2">
        <v>1.09</v>
      </c>
      <c r="E450" s="2" t="s">
        <v>119</v>
      </c>
      <c r="F450" s="2" t="s">
        <v>91</v>
      </c>
      <c r="G450" s="2" t="s">
        <v>67</v>
      </c>
      <c r="H450" s="2" t="s">
        <v>68</v>
      </c>
      <c r="I450" s="2" t="s">
        <v>68</v>
      </c>
      <c r="J450" s="2" t="s">
        <v>70</v>
      </c>
      <c r="L450" s="2" t="s">
        <v>1481</v>
      </c>
      <c r="O450" t="s">
        <v>72</v>
      </c>
      <c r="P450" s="2">
        <v>561259420</v>
      </c>
      <c r="R450" s="2">
        <v>8000</v>
      </c>
      <c r="S450" s="4">
        <f t="shared" si="12"/>
        <v>8720</v>
      </c>
      <c r="T450" s="4">
        <v>-97</v>
      </c>
      <c r="U450" s="4">
        <f t="shared" si="13"/>
        <v>261.6</v>
      </c>
      <c r="V450" s="5">
        <v>0.718</v>
      </c>
      <c r="W450" s="2">
        <v>72</v>
      </c>
      <c r="AU450" s="3" t="s">
        <v>73</v>
      </c>
      <c r="AW450" s="2" t="s">
        <v>74</v>
      </c>
      <c r="AZ450" t="s">
        <v>1482</v>
      </c>
      <c r="BB450" s="7" t="str">
        <f>HYPERLINK("https://v360.in/diamondview.aspx?cid=preet&amp;d=HN-129-18","https://v360.in/diamondview.aspx?cid=preet&amp;d=HN-129-18")</f>
        <v>https://v360.in/diamondview.aspx?cid=preet&amp;d=HN-129-18</v>
      </c>
    </row>
    <row r="451" ht="15.75" spans="1:54">
      <c r="A451" s="2" t="s">
        <v>1483</v>
      </c>
      <c r="B451" s="3" t="s">
        <v>63</v>
      </c>
      <c r="C451" s="2" t="s">
        <v>1152</v>
      </c>
      <c r="D451" s="2">
        <v>1.09</v>
      </c>
      <c r="E451" s="2" t="s">
        <v>63</v>
      </c>
      <c r="F451" s="2" t="s">
        <v>66</v>
      </c>
      <c r="G451" s="2" t="s">
        <v>67</v>
      </c>
      <c r="H451" s="2" t="s">
        <v>68</v>
      </c>
      <c r="I451" s="2" t="s">
        <v>68</v>
      </c>
      <c r="J451" s="2" t="s">
        <v>70</v>
      </c>
      <c r="L451" s="2" t="s">
        <v>1484</v>
      </c>
      <c r="O451" t="s">
        <v>72</v>
      </c>
      <c r="P451" s="2">
        <v>570370822</v>
      </c>
      <c r="R451" s="2">
        <v>6600</v>
      </c>
      <c r="S451" s="4">
        <f t="shared" ref="S451:S514" si="14">R451*D451</f>
        <v>7194</v>
      </c>
      <c r="T451" s="4">
        <v>-97</v>
      </c>
      <c r="U451" s="4">
        <f t="shared" ref="U451:U514" si="15">(R451+(R451*T451)/100)*D451</f>
        <v>215.82</v>
      </c>
      <c r="V451" s="6">
        <v>0.64</v>
      </c>
      <c r="W451" s="5">
        <v>0.675</v>
      </c>
      <c r="AU451" s="3" t="s">
        <v>73</v>
      </c>
      <c r="AW451" s="2" t="s">
        <v>93</v>
      </c>
      <c r="AZ451" t="s">
        <v>1485</v>
      </c>
      <c r="BB451" s="7" t="str">
        <f>HYPERLINK("https://v360.in/diamondview.aspx?cid=preet&amp;d=HN-147-9","https://v360.in/diamondview.aspx?cid=preet&amp;d=HN-147-9")</f>
        <v>https://v360.in/diamondview.aspx?cid=preet&amp;d=HN-147-9</v>
      </c>
    </row>
    <row r="452" ht="15.75" spans="1:54">
      <c r="A452" s="2" t="s">
        <v>1486</v>
      </c>
      <c r="B452" s="3" t="s">
        <v>63</v>
      </c>
      <c r="C452" s="2" t="s">
        <v>1152</v>
      </c>
      <c r="D452" s="2">
        <v>1.09</v>
      </c>
      <c r="E452" s="2" t="s">
        <v>81</v>
      </c>
      <c r="F452" s="2" t="s">
        <v>66</v>
      </c>
      <c r="G452" s="2" t="s">
        <v>67</v>
      </c>
      <c r="H452" s="2" t="s">
        <v>68</v>
      </c>
      <c r="I452" s="2" t="s">
        <v>68</v>
      </c>
      <c r="J452" s="2" t="s">
        <v>70</v>
      </c>
      <c r="L452" s="2" t="s">
        <v>1487</v>
      </c>
      <c r="O452" t="s">
        <v>72</v>
      </c>
      <c r="P452" s="2">
        <v>523279525</v>
      </c>
      <c r="R452" s="2">
        <v>5700</v>
      </c>
      <c r="S452" s="4">
        <f t="shared" si="14"/>
        <v>6213</v>
      </c>
      <c r="T452" s="4">
        <v>-97</v>
      </c>
      <c r="U452" s="4">
        <f t="shared" si="15"/>
        <v>186.39</v>
      </c>
      <c r="V452" s="2">
        <v>63</v>
      </c>
      <c r="W452" s="5">
        <v>0.635</v>
      </c>
      <c r="AU452" s="3" t="s">
        <v>73</v>
      </c>
      <c r="AW452" s="2" t="s">
        <v>74</v>
      </c>
      <c r="AZ452" t="s">
        <v>1488</v>
      </c>
      <c r="BB452" s="7" t="str">
        <f>HYPERLINK("https://view.gem360.in/gem360/2504220553-HN39-135/gem360-2504220553-HN39-135.html","https://view.gem360.in/gem360/2504220553-HN39-135/gem360-2504220553-HN39-135.html")</f>
        <v>https://view.gem360.in/gem360/2504220553-HN39-135/gem360-2504220553-HN39-135.html</v>
      </c>
    </row>
    <row r="453" ht="15.75" spans="1:54">
      <c r="A453" s="2" t="s">
        <v>1489</v>
      </c>
      <c r="B453" s="3" t="s">
        <v>63</v>
      </c>
      <c r="C453" s="2" t="s">
        <v>1152</v>
      </c>
      <c r="D453" s="2">
        <v>1.08</v>
      </c>
      <c r="E453" s="2" t="s">
        <v>65</v>
      </c>
      <c r="F453" s="2" t="s">
        <v>91</v>
      </c>
      <c r="G453" s="2" t="s">
        <v>67</v>
      </c>
      <c r="H453" s="2" t="s">
        <v>68</v>
      </c>
      <c r="I453" s="2" t="s">
        <v>68</v>
      </c>
      <c r="J453" s="2" t="s">
        <v>70</v>
      </c>
      <c r="L453" s="2" t="s">
        <v>1490</v>
      </c>
      <c r="O453" t="s">
        <v>72</v>
      </c>
      <c r="P453" s="2">
        <v>567356395</v>
      </c>
      <c r="R453" s="2">
        <v>7500</v>
      </c>
      <c r="S453" s="4">
        <f t="shared" si="14"/>
        <v>8100</v>
      </c>
      <c r="T453" s="4">
        <v>-97</v>
      </c>
      <c r="U453" s="4">
        <f t="shared" si="15"/>
        <v>243</v>
      </c>
      <c r="V453" s="6">
        <v>0.64</v>
      </c>
      <c r="W453" s="5">
        <v>0.675</v>
      </c>
      <c r="AU453" s="3" t="s">
        <v>73</v>
      </c>
      <c r="AW453" s="2" t="s">
        <v>93</v>
      </c>
      <c r="AZ453" t="s">
        <v>1491</v>
      </c>
      <c r="BB453" s="7" t="str">
        <f>HYPERLINK("https://v360.in/diamondview.aspx?cid=preet&amp;d=HN-136-37","https://v360.in/diamondview.aspx?cid=preet&amp;d=HN-136-37")</f>
        <v>https://v360.in/diamondview.aspx?cid=preet&amp;d=HN-136-37</v>
      </c>
    </row>
    <row r="454" ht="15.75" spans="1:54">
      <c r="A454" s="2" t="s">
        <v>1492</v>
      </c>
      <c r="B454" s="3" t="s">
        <v>63</v>
      </c>
      <c r="C454" s="2" t="s">
        <v>1152</v>
      </c>
      <c r="D454" s="2">
        <v>1.07</v>
      </c>
      <c r="E454" s="2" t="s">
        <v>65</v>
      </c>
      <c r="F454" s="2" t="s">
        <v>143</v>
      </c>
      <c r="G454" s="2" t="s">
        <v>67</v>
      </c>
      <c r="H454" s="2" t="s">
        <v>68</v>
      </c>
      <c r="I454" s="2" t="s">
        <v>68</v>
      </c>
      <c r="J454" s="2" t="s">
        <v>70</v>
      </c>
      <c r="L454" s="2" t="s">
        <v>1493</v>
      </c>
      <c r="O454" t="s">
        <v>72</v>
      </c>
      <c r="P454" s="2">
        <v>569328545</v>
      </c>
      <c r="R454" s="2">
        <v>8000</v>
      </c>
      <c r="S454" s="4">
        <f t="shared" si="14"/>
        <v>8560</v>
      </c>
      <c r="T454" s="4">
        <v>-97</v>
      </c>
      <c r="U454" s="4">
        <f t="shared" si="15"/>
        <v>256.8</v>
      </c>
      <c r="V454" s="5">
        <v>0.662</v>
      </c>
      <c r="W454" s="5">
        <v>0.615</v>
      </c>
      <c r="AU454" s="3" t="s">
        <v>73</v>
      </c>
      <c r="AW454" s="2" t="s">
        <v>93</v>
      </c>
      <c r="AZ454" t="s">
        <v>1494</v>
      </c>
      <c r="BB454" s="7" t="str">
        <f>HYPERLINK("https://v360.in/diamondview.aspx?cid=preet&amp;d=HN-137-13","https://v360.in/diamondview.aspx?cid=preet&amp;d=HN-137-13")</f>
        <v>https://v360.in/diamondview.aspx?cid=preet&amp;d=HN-137-13</v>
      </c>
    </row>
    <row r="455" ht="15.75" spans="1:54">
      <c r="A455" s="2" t="s">
        <v>1495</v>
      </c>
      <c r="B455" s="3" t="s">
        <v>63</v>
      </c>
      <c r="C455" s="2" t="s">
        <v>1152</v>
      </c>
      <c r="D455" s="2">
        <v>1.06</v>
      </c>
      <c r="E455" s="2" t="s">
        <v>65</v>
      </c>
      <c r="F455" s="2" t="s">
        <v>66</v>
      </c>
      <c r="G455" s="2" t="s">
        <v>67</v>
      </c>
      <c r="H455" s="2" t="s">
        <v>68</v>
      </c>
      <c r="I455" s="2" t="s">
        <v>68</v>
      </c>
      <c r="J455" s="2" t="s">
        <v>70</v>
      </c>
      <c r="L455" s="2" t="s">
        <v>1496</v>
      </c>
      <c r="O455" t="s">
        <v>72</v>
      </c>
      <c r="P455" s="2">
        <v>523279526</v>
      </c>
      <c r="R455" s="2">
        <v>6900</v>
      </c>
      <c r="S455" s="4">
        <f t="shared" si="14"/>
        <v>7314</v>
      </c>
      <c r="T455" s="4">
        <v>-97</v>
      </c>
      <c r="U455" s="4">
        <f t="shared" si="15"/>
        <v>219.42</v>
      </c>
      <c r="V455" s="5">
        <v>0.735</v>
      </c>
      <c r="W455" s="5">
        <v>0.695</v>
      </c>
      <c r="AU455" s="3" t="s">
        <v>73</v>
      </c>
      <c r="AW455" s="2" t="s">
        <v>74</v>
      </c>
      <c r="AZ455" t="s">
        <v>1497</v>
      </c>
      <c r="BB455" s="7" t="str">
        <f>HYPERLINK("https://view.gem360.in/gem360/2504220558-HN39-132/gem360-2504220558-HN39-132.html","https://view.gem360.in/gem360/2504220558-HN39-132/gem360-2504220558-HN39-132.html")</f>
        <v>https://view.gem360.in/gem360/2504220558-HN39-132/gem360-2504220558-HN39-132.html</v>
      </c>
    </row>
    <row r="456" ht="15.75" spans="1:54">
      <c r="A456" s="2" t="s">
        <v>1498</v>
      </c>
      <c r="B456" s="3" t="s">
        <v>63</v>
      </c>
      <c r="C456" s="2" t="s">
        <v>1152</v>
      </c>
      <c r="D456" s="2">
        <v>1.05</v>
      </c>
      <c r="E456" s="2" t="s">
        <v>310</v>
      </c>
      <c r="F456" s="2" t="s">
        <v>143</v>
      </c>
      <c r="G456" s="2" t="s">
        <v>67</v>
      </c>
      <c r="H456" s="2" t="s">
        <v>68</v>
      </c>
      <c r="I456" s="2" t="s">
        <v>68</v>
      </c>
      <c r="J456" s="2" t="s">
        <v>70</v>
      </c>
      <c r="L456" s="2" t="s">
        <v>1499</v>
      </c>
      <c r="O456" t="s">
        <v>72</v>
      </c>
      <c r="P456" s="2">
        <v>550231429</v>
      </c>
      <c r="R456" s="2">
        <v>9400</v>
      </c>
      <c r="S456" s="4">
        <f t="shared" si="14"/>
        <v>9870</v>
      </c>
      <c r="T456" s="4">
        <v>-97</v>
      </c>
      <c r="U456" s="4">
        <f t="shared" si="15"/>
        <v>296.1</v>
      </c>
      <c r="V456" s="5">
        <v>0.671</v>
      </c>
      <c r="W456" s="6">
        <v>0.64</v>
      </c>
      <c r="AU456" s="3" t="s">
        <v>73</v>
      </c>
      <c r="AW456" s="2" t="s">
        <v>74</v>
      </c>
      <c r="AZ456" t="s">
        <v>1500</v>
      </c>
      <c r="BB456" s="7" t="str">
        <f>HYPERLINK("https://v360.in/diamondview.aspx?cid=preet&amp;d=HN-97-54","https://v360.in/diamondview.aspx?cid=preet&amp;d=HN-97-54")</f>
        <v>https://v360.in/diamondview.aspx?cid=preet&amp;d=HN-97-54</v>
      </c>
    </row>
    <row r="457" ht="15.75" spans="1:54">
      <c r="A457" s="2" t="s">
        <v>1501</v>
      </c>
      <c r="B457" s="3" t="s">
        <v>63</v>
      </c>
      <c r="C457" s="2" t="s">
        <v>1152</v>
      </c>
      <c r="D457" s="2">
        <v>1.05</v>
      </c>
      <c r="E457" s="2" t="s">
        <v>65</v>
      </c>
      <c r="F457" s="2" t="s">
        <v>91</v>
      </c>
      <c r="G457" s="2" t="s">
        <v>67</v>
      </c>
      <c r="H457" s="2" t="s">
        <v>68</v>
      </c>
      <c r="I457" s="2" t="s">
        <v>68</v>
      </c>
      <c r="J457" s="2" t="s">
        <v>70</v>
      </c>
      <c r="L457" s="2" t="s">
        <v>1502</v>
      </c>
      <c r="O457" t="s">
        <v>72</v>
      </c>
      <c r="P457" s="2">
        <v>571307668</v>
      </c>
      <c r="R457" s="2">
        <v>7500</v>
      </c>
      <c r="S457" s="4">
        <f t="shared" si="14"/>
        <v>7875</v>
      </c>
      <c r="T457" s="4">
        <v>-97</v>
      </c>
      <c r="U457" s="4">
        <f t="shared" si="15"/>
        <v>236.25</v>
      </c>
      <c r="V457" s="5">
        <v>0.676</v>
      </c>
      <c r="W457" s="6">
        <v>0.63</v>
      </c>
      <c r="AU457" s="3" t="s">
        <v>73</v>
      </c>
      <c r="AW457" s="2" t="s">
        <v>93</v>
      </c>
      <c r="AZ457" t="s">
        <v>1503</v>
      </c>
      <c r="BB457" s="7" t="s">
        <v>1504</v>
      </c>
    </row>
    <row r="458" ht="15.75" spans="1:54">
      <c r="A458" s="2" t="s">
        <v>1505</v>
      </c>
      <c r="B458" s="3" t="s">
        <v>63</v>
      </c>
      <c r="C458" s="2" t="s">
        <v>1152</v>
      </c>
      <c r="D458" s="2">
        <v>1.05</v>
      </c>
      <c r="E458" s="2" t="s">
        <v>81</v>
      </c>
      <c r="F458" s="2" t="s">
        <v>155</v>
      </c>
      <c r="G458" s="2" t="s">
        <v>67</v>
      </c>
      <c r="H458" s="2" t="s">
        <v>68</v>
      </c>
      <c r="I458" s="2" t="s">
        <v>68</v>
      </c>
      <c r="J458" s="2" t="s">
        <v>70</v>
      </c>
      <c r="L458" s="2" t="s">
        <v>1506</v>
      </c>
      <c r="O458" t="s">
        <v>72</v>
      </c>
      <c r="P458" s="2">
        <v>522254623</v>
      </c>
      <c r="R458" s="2">
        <v>5000</v>
      </c>
      <c r="S458" s="4">
        <f t="shared" si="14"/>
        <v>5250</v>
      </c>
      <c r="T458" s="4">
        <v>-97</v>
      </c>
      <c r="U458" s="4">
        <f t="shared" si="15"/>
        <v>157.5</v>
      </c>
      <c r="V458" s="5">
        <v>0.686</v>
      </c>
      <c r="W458" s="6">
        <v>0.68</v>
      </c>
      <c r="AU458" s="3" t="s">
        <v>73</v>
      </c>
      <c r="AW458" s="2" t="s">
        <v>74</v>
      </c>
      <c r="AZ458" t="s">
        <v>1507</v>
      </c>
      <c r="BB458" s="7" t="str">
        <f>HYPERLINK("","")</f>
        <v/>
      </c>
    </row>
    <row r="459" ht="15.75" spans="1:54">
      <c r="A459" s="2" t="s">
        <v>1508</v>
      </c>
      <c r="B459" s="3" t="s">
        <v>63</v>
      </c>
      <c r="C459" s="2" t="s">
        <v>1152</v>
      </c>
      <c r="D459" s="2">
        <v>1.04</v>
      </c>
      <c r="E459" s="2" t="s">
        <v>65</v>
      </c>
      <c r="F459" s="2" t="s">
        <v>91</v>
      </c>
      <c r="G459" s="2" t="s">
        <v>67</v>
      </c>
      <c r="H459" s="2" t="s">
        <v>68</v>
      </c>
      <c r="I459" s="2" t="s">
        <v>68</v>
      </c>
      <c r="J459" s="2" t="s">
        <v>70</v>
      </c>
      <c r="L459" s="2" t="s">
        <v>1509</v>
      </c>
      <c r="O459" t="s">
        <v>72</v>
      </c>
      <c r="P459" s="2">
        <v>546203599</v>
      </c>
      <c r="R459" s="2">
        <v>7500</v>
      </c>
      <c r="S459" s="4">
        <f t="shared" si="14"/>
        <v>7800</v>
      </c>
      <c r="T459" s="4">
        <v>-97</v>
      </c>
      <c r="U459" s="4">
        <f t="shared" si="15"/>
        <v>234</v>
      </c>
      <c r="V459" s="5">
        <v>0.703</v>
      </c>
      <c r="W459" s="5">
        <v>0.655</v>
      </c>
      <c r="AU459" s="3" t="s">
        <v>73</v>
      </c>
      <c r="AW459" s="2" t="s">
        <v>74</v>
      </c>
      <c r="AZ459" t="s">
        <v>1510</v>
      </c>
      <c r="BB459" s="7" t="str">
        <f>HYPERLINK("https://v360.in/diamondview.aspx?cid=meet&amp;d=HN-79-41","https://v360.in/diamondview.aspx?cid=meet&amp;d=HN-79-41")</f>
        <v>https://v360.in/diamondview.aspx?cid=meet&amp;d=HN-79-41</v>
      </c>
    </row>
    <row r="460" ht="15.75" spans="1:54">
      <c r="A460" s="2" t="s">
        <v>1511</v>
      </c>
      <c r="B460" s="3" t="s">
        <v>63</v>
      </c>
      <c r="C460" s="2" t="s">
        <v>1152</v>
      </c>
      <c r="D460" s="2">
        <v>1.04</v>
      </c>
      <c r="E460" s="2" t="s">
        <v>65</v>
      </c>
      <c r="F460" s="2" t="s">
        <v>91</v>
      </c>
      <c r="G460" s="2" t="s">
        <v>67</v>
      </c>
      <c r="H460" s="2" t="s">
        <v>68</v>
      </c>
      <c r="I460" s="2" t="s">
        <v>69</v>
      </c>
      <c r="J460" s="2" t="s">
        <v>70</v>
      </c>
      <c r="L460" s="2" t="s">
        <v>1512</v>
      </c>
      <c r="O460" t="s">
        <v>72</v>
      </c>
      <c r="P460" s="2">
        <v>566310894</v>
      </c>
      <c r="R460" s="2">
        <v>7500</v>
      </c>
      <c r="S460" s="4">
        <f t="shared" si="14"/>
        <v>7800</v>
      </c>
      <c r="T460" s="4">
        <v>-97</v>
      </c>
      <c r="U460" s="4">
        <f t="shared" si="15"/>
        <v>234</v>
      </c>
      <c r="V460" s="5">
        <v>0.676</v>
      </c>
      <c r="W460" s="6">
        <v>0.67</v>
      </c>
      <c r="AU460" s="3" t="s">
        <v>73</v>
      </c>
      <c r="AW460" s="2" t="s">
        <v>93</v>
      </c>
      <c r="AZ460" t="s">
        <v>1513</v>
      </c>
      <c r="BB460" s="7" t="str">
        <f>HYPERLINK("https://v360.in/diamondview.aspx?cid=preet&amp;d=HN-135-17","https://v360.in/diamondview.aspx?cid=preet&amp;d=HN-135-17")</f>
        <v>https://v360.in/diamondview.aspx?cid=preet&amp;d=HN-135-17</v>
      </c>
    </row>
    <row r="461" ht="15.75" spans="1:54">
      <c r="A461" s="2" t="s">
        <v>1514</v>
      </c>
      <c r="B461" s="3" t="s">
        <v>63</v>
      </c>
      <c r="C461" s="2" t="s">
        <v>1152</v>
      </c>
      <c r="D461" s="2">
        <v>1.04</v>
      </c>
      <c r="E461" s="2" t="s">
        <v>63</v>
      </c>
      <c r="F461" s="2" t="s">
        <v>143</v>
      </c>
      <c r="G461" s="2" t="s">
        <v>67</v>
      </c>
      <c r="H461" s="2" t="s">
        <v>68</v>
      </c>
      <c r="I461" s="2" t="s">
        <v>68</v>
      </c>
      <c r="J461" s="2" t="s">
        <v>70</v>
      </c>
      <c r="L461" s="2" t="s">
        <v>1515</v>
      </c>
      <c r="O461" t="s">
        <v>72</v>
      </c>
      <c r="P461" s="2">
        <v>520291581</v>
      </c>
      <c r="R461" s="2">
        <v>7300</v>
      </c>
      <c r="S461" s="4">
        <f t="shared" si="14"/>
        <v>7592</v>
      </c>
      <c r="T461" s="4">
        <v>-97</v>
      </c>
      <c r="U461" s="4">
        <f t="shared" si="15"/>
        <v>227.76</v>
      </c>
      <c r="V461" s="5">
        <v>0.627</v>
      </c>
      <c r="W461" s="6">
        <v>0.65</v>
      </c>
      <c r="AU461" s="3" t="s">
        <v>73</v>
      </c>
      <c r="AW461" s="2" t="s">
        <v>74</v>
      </c>
      <c r="AZ461" t="s">
        <v>1516</v>
      </c>
      <c r="BB461" s="7" t="str">
        <f>HYPERLINK("","")</f>
        <v/>
      </c>
    </row>
    <row r="462" ht="15.75" spans="1:54">
      <c r="A462" s="2" t="s">
        <v>1517</v>
      </c>
      <c r="B462" s="3" t="s">
        <v>63</v>
      </c>
      <c r="C462" s="2" t="s">
        <v>1152</v>
      </c>
      <c r="D462" s="2">
        <v>1.04</v>
      </c>
      <c r="E462" s="2" t="s">
        <v>63</v>
      </c>
      <c r="F462" s="2" t="s">
        <v>143</v>
      </c>
      <c r="G462" s="2" t="s">
        <v>67</v>
      </c>
      <c r="H462" s="2" t="s">
        <v>68</v>
      </c>
      <c r="I462" s="2" t="s">
        <v>68</v>
      </c>
      <c r="J462" s="2" t="s">
        <v>70</v>
      </c>
      <c r="L462" s="2" t="s">
        <v>1518</v>
      </c>
      <c r="O462" t="s">
        <v>72</v>
      </c>
      <c r="P462" s="2">
        <v>569328541</v>
      </c>
      <c r="R462" s="2">
        <v>7300</v>
      </c>
      <c r="S462" s="4">
        <f t="shared" si="14"/>
        <v>7592</v>
      </c>
      <c r="T462" s="4">
        <v>-97</v>
      </c>
      <c r="U462" s="4">
        <f t="shared" si="15"/>
        <v>227.76</v>
      </c>
      <c r="V462" s="5">
        <v>0.695</v>
      </c>
      <c r="W462" s="6">
        <v>0.68</v>
      </c>
      <c r="AU462" s="3" t="s">
        <v>73</v>
      </c>
      <c r="AW462" s="2" t="s">
        <v>93</v>
      </c>
      <c r="AZ462" t="s">
        <v>1519</v>
      </c>
      <c r="BB462" s="7" t="str">
        <f>HYPERLINK("https://v360.in/diamondview.aspx?cid=preet&amp;d=HN-137-8","https://v360.in/diamondview.aspx?cid=preet&amp;d=HN-137-8")</f>
        <v>https://v360.in/diamondview.aspx?cid=preet&amp;d=HN-137-8</v>
      </c>
    </row>
    <row r="463" ht="15.75" spans="1:54">
      <c r="A463" s="2" t="s">
        <v>1520</v>
      </c>
      <c r="B463" s="3" t="s">
        <v>63</v>
      </c>
      <c r="C463" s="2" t="s">
        <v>1152</v>
      </c>
      <c r="D463" s="2">
        <v>1.04</v>
      </c>
      <c r="E463" s="2" t="s">
        <v>63</v>
      </c>
      <c r="F463" s="2" t="s">
        <v>91</v>
      </c>
      <c r="G463" s="2" t="s">
        <v>67</v>
      </c>
      <c r="H463" s="2" t="s">
        <v>68</v>
      </c>
      <c r="I463" s="2" t="s">
        <v>69</v>
      </c>
      <c r="J463" s="2" t="s">
        <v>70</v>
      </c>
      <c r="L463" s="2" t="s">
        <v>1521</v>
      </c>
      <c r="O463" t="s">
        <v>72</v>
      </c>
      <c r="P463" s="2">
        <v>522254622</v>
      </c>
      <c r="R463" s="2">
        <v>7000</v>
      </c>
      <c r="S463" s="4">
        <f t="shared" si="14"/>
        <v>7280</v>
      </c>
      <c r="T463" s="4">
        <v>-97</v>
      </c>
      <c r="U463" s="4">
        <f t="shared" si="15"/>
        <v>218.4</v>
      </c>
      <c r="V463" s="5">
        <v>0.617</v>
      </c>
      <c r="W463" s="6">
        <v>0.77</v>
      </c>
      <c r="AU463" s="3" t="s">
        <v>73</v>
      </c>
      <c r="AW463" s="2" t="s">
        <v>74</v>
      </c>
      <c r="AZ463" t="s">
        <v>1522</v>
      </c>
      <c r="BB463" s="7" t="str">
        <f>HYPERLINK("https://view.gem360.in/gem360/1504220528-HN39-139/gem360-1504220528-HN39-139.html","https://view.gem360.in/gem360/1504220528-HN39-139/gem360-1504220528-HN39-139.html")</f>
        <v>https://view.gem360.in/gem360/1504220528-HN39-139/gem360-1504220528-HN39-139.html</v>
      </c>
    </row>
    <row r="464" ht="15.75" spans="1:54">
      <c r="A464" s="2" t="s">
        <v>1523</v>
      </c>
      <c r="B464" s="3" t="s">
        <v>63</v>
      </c>
      <c r="C464" s="2" t="s">
        <v>1152</v>
      </c>
      <c r="D464" s="2">
        <v>1.04</v>
      </c>
      <c r="E464" s="2" t="s">
        <v>63</v>
      </c>
      <c r="F464" s="2" t="s">
        <v>91</v>
      </c>
      <c r="G464" s="2" t="s">
        <v>67</v>
      </c>
      <c r="H464" s="2" t="s">
        <v>68</v>
      </c>
      <c r="I464" s="2" t="s">
        <v>68</v>
      </c>
      <c r="J464" s="2" t="s">
        <v>70</v>
      </c>
      <c r="L464" s="2" t="s">
        <v>1524</v>
      </c>
      <c r="O464" t="s">
        <v>72</v>
      </c>
      <c r="P464" s="2">
        <v>571307667</v>
      </c>
      <c r="R464" s="2">
        <v>7000</v>
      </c>
      <c r="S464" s="4">
        <f t="shared" si="14"/>
        <v>7280</v>
      </c>
      <c r="T464" s="4">
        <v>-97</v>
      </c>
      <c r="U464" s="4">
        <f t="shared" si="15"/>
        <v>218.4</v>
      </c>
      <c r="V464" s="6">
        <v>0.66</v>
      </c>
      <c r="W464" s="5">
        <v>0.735</v>
      </c>
      <c r="AU464" s="3" t="s">
        <v>73</v>
      </c>
      <c r="AW464" s="2" t="s">
        <v>93</v>
      </c>
      <c r="AZ464" t="s">
        <v>1525</v>
      </c>
      <c r="BB464" s="7" t="s">
        <v>1526</v>
      </c>
    </row>
    <row r="465" ht="15.75" spans="1:54">
      <c r="A465" s="2" t="s">
        <v>1527</v>
      </c>
      <c r="B465" s="3" t="s">
        <v>63</v>
      </c>
      <c r="C465" s="2" t="s">
        <v>1152</v>
      </c>
      <c r="D465" s="2">
        <v>1.04</v>
      </c>
      <c r="E465" s="2" t="s">
        <v>558</v>
      </c>
      <c r="F465" s="2" t="s">
        <v>66</v>
      </c>
      <c r="G465" s="2" t="s">
        <v>67</v>
      </c>
      <c r="H465" s="2" t="s">
        <v>68</v>
      </c>
      <c r="I465" s="2" t="s">
        <v>68</v>
      </c>
      <c r="J465" s="2" t="s">
        <v>70</v>
      </c>
      <c r="L465" s="2" t="s">
        <v>1528</v>
      </c>
      <c r="O465" t="s">
        <v>72</v>
      </c>
      <c r="P465" s="2">
        <v>526286726</v>
      </c>
      <c r="R465" s="2">
        <v>4900</v>
      </c>
      <c r="S465" s="4">
        <f t="shared" si="14"/>
        <v>5096</v>
      </c>
      <c r="T465" s="4">
        <v>-97</v>
      </c>
      <c r="U465" s="4">
        <f t="shared" si="15"/>
        <v>152.88</v>
      </c>
      <c r="V465" s="6">
        <v>0.6</v>
      </c>
      <c r="W465" s="5">
        <v>0.675</v>
      </c>
      <c r="AU465" s="3" t="s">
        <v>73</v>
      </c>
      <c r="AW465" s="2" t="s">
        <v>74</v>
      </c>
      <c r="AZ465" t="s">
        <v>1529</v>
      </c>
      <c r="BB465" s="7" t="str">
        <f>HYPERLINK("","")</f>
        <v/>
      </c>
    </row>
    <row r="466" ht="15.75" spans="1:54">
      <c r="A466" s="2" t="s">
        <v>1530</v>
      </c>
      <c r="B466" s="3" t="s">
        <v>63</v>
      </c>
      <c r="C466" s="2" t="s">
        <v>1152</v>
      </c>
      <c r="D466" s="2">
        <v>1.03</v>
      </c>
      <c r="E466" s="2" t="s">
        <v>65</v>
      </c>
      <c r="F466" s="2" t="s">
        <v>66</v>
      </c>
      <c r="G466" s="2" t="s">
        <v>67</v>
      </c>
      <c r="H466" s="2" t="s">
        <v>68</v>
      </c>
      <c r="I466" s="2" t="s">
        <v>68</v>
      </c>
      <c r="J466" s="2" t="s">
        <v>70</v>
      </c>
      <c r="L466" s="2" t="s">
        <v>1531</v>
      </c>
      <c r="O466" t="s">
        <v>72</v>
      </c>
      <c r="P466" s="2">
        <v>551214605</v>
      </c>
      <c r="R466" s="2">
        <v>6900</v>
      </c>
      <c r="S466" s="4">
        <f t="shared" si="14"/>
        <v>7107</v>
      </c>
      <c r="T466" s="4">
        <v>-97</v>
      </c>
      <c r="U466" s="4">
        <f t="shared" si="15"/>
        <v>213.21</v>
      </c>
      <c r="V466" s="5">
        <v>0.684</v>
      </c>
      <c r="W466" s="5">
        <v>0.655</v>
      </c>
      <c r="AU466" s="3" t="s">
        <v>73</v>
      </c>
      <c r="AW466" s="2" t="s">
        <v>74</v>
      </c>
      <c r="AZ466" t="s">
        <v>1532</v>
      </c>
      <c r="BB466" s="7" t="str">
        <f>HYPERLINK("https://v360.in/diamondview.aspx?cid=preet&amp;d=HN-127-23","https://v360.in/diamondview.aspx?cid=preet&amp;d=HN-127-23")</f>
        <v>https://v360.in/diamondview.aspx?cid=preet&amp;d=HN-127-23</v>
      </c>
    </row>
    <row r="467" ht="15.75" spans="1:54">
      <c r="A467" s="2" t="s">
        <v>1533</v>
      </c>
      <c r="B467" s="3" t="s">
        <v>63</v>
      </c>
      <c r="C467" s="2" t="s">
        <v>1152</v>
      </c>
      <c r="D467" s="2">
        <v>1.03</v>
      </c>
      <c r="E467" s="2" t="s">
        <v>65</v>
      </c>
      <c r="F467" s="2" t="s">
        <v>66</v>
      </c>
      <c r="G467" s="2" t="s">
        <v>67</v>
      </c>
      <c r="H467" s="2" t="s">
        <v>68</v>
      </c>
      <c r="I467" s="2" t="s">
        <v>68</v>
      </c>
      <c r="J467" s="2" t="s">
        <v>70</v>
      </c>
      <c r="L467" s="2" t="s">
        <v>1534</v>
      </c>
      <c r="O467" t="s">
        <v>72</v>
      </c>
      <c r="P467" s="2">
        <v>570376194</v>
      </c>
      <c r="R467" s="2">
        <v>6900</v>
      </c>
      <c r="S467" s="4">
        <f t="shared" si="14"/>
        <v>7107</v>
      </c>
      <c r="T467" s="4">
        <v>-97</v>
      </c>
      <c r="U467" s="4">
        <f t="shared" si="15"/>
        <v>213.21</v>
      </c>
      <c r="V467" s="6">
        <v>0.65</v>
      </c>
      <c r="W467" s="6">
        <v>0.69</v>
      </c>
      <c r="AU467" s="3" t="s">
        <v>73</v>
      </c>
      <c r="AW467" s="2" t="s">
        <v>93</v>
      </c>
      <c r="AZ467" t="s">
        <v>1535</v>
      </c>
      <c r="BB467" s="7" t="str">
        <f>HYPERLINK("https://v360.in/diamondview.aspx?cid=preet&amp;d=HN-148-17","https://v360.in/diamondview.aspx?cid=preet&amp;d=HN-148-17")</f>
        <v>https://v360.in/diamondview.aspx?cid=preet&amp;d=HN-148-17</v>
      </c>
    </row>
    <row r="468" ht="15.75" spans="1:54">
      <c r="A468" s="2" t="s">
        <v>1536</v>
      </c>
      <c r="B468" s="3" t="s">
        <v>63</v>
      </c>
      <c r="C468" s="2" t="s">
        <v>1152</v>
      </c>
      <c r="D468" s="2">
        <v>1.03</v>
      </c>
      <c r="E468" s="2" t="s">
        <v>65</v>
      </c>
      <c r="F468" s="2" t="s">
        <v>91</v>
      </c>
      <c r="G468" s="2" t="s">
        <v>67</v>
      </c>
      <c r="H468" s="2" t="s">
        <v>68</v>
      </c>
      <c r="I468" s="2" t="s">
        <v>68</v>
      </c>
      <c r="J468" s="2" t="s">
        <v>70</v>
      </c>
      <c r="L468" s="2" t="s">
        <v>1537</v>
      </c>
      <c r="O468" t="s">
        <v>72</v>
      </c>
      <c r="P468" s="2">
        <v>570370815</v>
      </c>
      <c r="R468" s="2">
        <v>7500</v>
      </c>
      <c r="S468" s="4">
        <f t="shared" si="14"/>
        <v>7725</v>
      </c>
      <c r="T468" s="4">
        <v>-97</v>
      </c>
      <c r="U468" s="4">
        <f t="shared" si="15"/>
        <v>231.75</v>
      </c>
      <c r="V468" s="6">
        <v>0.64</v>
      </c>
      <c r="W468" s="6">
        <v>0.68</v>
      </c>
      <c r="AU468" s="3" t="s">
        <v>73</v>
      </c>
      <c r="AW468" s="2" t="s">
        <v>93</v>
      </c>
      <c r="AZ468" t="s">
        <v>1538</v>
      </c>
      <c r="BB468" s="7" t="str">
        <f>HYPERLINK("https://v360.in/diamondview.aspx?cid=preet&amp;d=HN-149-1","https://v360.in/diamondview.aspx?cid=preet&amp;d=HN-149-1")</f>
        <v>https://v360.in/diamondview.aspx?cid=preet&amp;d=HN-149-1</v>
      </c>
    </row>
    <row r="469" ht="15.75" spans="1:54">
      <c r="A469" s="2" t="s">
        <v>1539</v>
      </c>
      <c r="B469" s="3" t="s">
        <v>63</v>
      </c>
      <c r="C469" s="2" t="s">
        <v>1152</v>
      </c>
      <c r="D469" s="2">
        <v>1.03</v>
      </c>
      <c r="E469" s="2" t="s">
        <v>63</v>
      </c>
      <c r="F469" s="2" t="s">
        <v>91</v>
      </c>
      <c r="G469" s="2" t="s">
        <v>67</v>
      </c>
      <c r="H469" s="2" t="s">
        <v>68</v>
      </c>
      <c r="I469" s="2" t="s">
        <v>68</v>
      </c>
      <c r="J469" s="2" t="s">
        <v>70</v>
      </c>
      <c r="L469" s="2" t="s">
        <v>1540</v>
      </c>
      <c r="O469" t="s">
        <v>72</v>
      </c>
      <c r="P469" s="2">
        <v>564365287</v>
      </c>
      <c r="R469" s="2">
        <v>7000</v>
      </c>
      <c r="S469" s="4">
        <f t="shared" si="14"/>
        <v>7210</v>
      </c>
      <c r="T469" s="4">
        <v>-97</v>
      </c>
      <c r="U469" s="4">
        <f t="shared" si="15"/>
        <v>216.3</v>
      </c>
      <c r="V469" s="5">
        <v>0.637</v>
      </c>
      <c r="W469" s="6">
        <v>0.69</v>
      </c>
      <c r="AU469" s="3" t="s">
        <v>73</v>
      </c>
      <c r="AW469" s="2" t="s">
        <v>93</v>
      </c>
      <c r="AZ469" t="s">
        <v>1541</v>
      </c>
      <c r="BB469" s="7" t="str">
        <f>HYPERLINK("https://v360.in/diamondview.aspx?cid=preet&amp;d=-HN-134-73","https://v360.in/diamondview.aspx?cid=preet&amp;d=-HN-134-73")</f>
        <v>https://v360.in/diamondview.aspx?cid=preet&amp;d=-HN-134-73</v>
      </c>
    </row>
    <row r="470" ht="15.75" spans="1:54">
      <c r="A470" s="2" t="s">
        <v>1542</v>
      </c>
      <c r="B470" s="3" t="s">
        <v>63</v>
      </c>
      <c r="C470" s="2" t="s">
        <v>1152</v>
      </c>
      <c r="D470" s="2">
        <v>1.03</v>
      </c>
      <c r="E470" s="2" t="s">
        <v>63</v>
      </c>
      <c r="F470" s="2" t="s">
        <v>91</v>
      </c>
      <c r="G470" s="2" t="s">
        <v>67</v>
      </c>
      <c r="H470" s="2" t="s">
        <v>68</v>
      </c>
      <c r="I470" s="2" t="s">
        <v>68</v>
      </c>
      <c r="J470" s="2" t="s">
        <v>70</v>
      </c>
      <c r="L470" s="2" t="s">
        <v>1543</v>
      </c>
      <c r="O470" t="s">
        <v>72</v>
      </c>
      <c r="P470" s="2">
        <v>567356396</v>
      </c>
      <c r="R470" s="2">
        <v>7000</v>
      </c>
      <c r="S470" s="4">
        <f t="shared" si="14"/>
        <v>7210</v>
      </c>
      <c r="T470" s="4">
        <v>-97</v>
      </c>
      <c r="U470" s="4">
        <f t="shared" si="15"/>
        <v>216.3</v>
      </c>
      <c r="V470" s="5">
        <v>0.657</v>
      </c>
      <c r="W470" s="6">
        <v>0.7</v>
      </c>
      <c r="AU470" s="3" t="s">
        <v>73</v>
      </c>
      <c r="AW470" s="2" t="s">
        <v>93</v>
      </c>
      <c r="AZ470" t="s">
        <v>1544</v>
      </c>
      <c r="BB470" s="7" t="str">
        <f>HYPERLINK("https://v360.in/diamondview.aspx?cid=preet&amp;d=HN-136-39","https://v360.in/diamondview.aspx?cid=preet&amp;d=HN-136-39")</f>
        <v>https://v360.in/diamondview.aspx?cid=preet&amp;d=HN-136-39</v>
      </c>
    </row>
    <row r="471" ht="15.75" spans="1:54">
      <c r="A471" s="2" t="s">
        <v>1545</v>
      </c>
      <c r="B471" s="3" t="s">
        <v>63</v>
      </c>
      <c r="C471" s="2" t="s">
        <v>1152</v>
      </c>
      <c r="D471" s="2">
        <v>1.02</v>
      </c>
      <c r="E471" s="2" t="s">
        <v>119</v>
      </c>
      <c r="F471" s="2" t="s">
        <v>91</v>
      </c>
      <c r="G471" s="2" t="s">
        <v>67</v>
      </c>
      <c r="H471" s="2" t="s">
        <v>68</v>
      </c>
      <c r="I471" s="2" t="s">
        <v>68</v>
      </c>
      <c r="J471" s="2" t="s">
        <v>70</v>
      </c>
      <c r="L471" s="2" t="s">
        <v>1546</v>
      </c>
      <c r="O471" t="s">
        <v>72</v>
      </c>
      <c r="P471" s="2">
        <v>569328543</v>
      </c>
      <c r="R471" s="2">
        <v>8000</v>
      </c>
      <c r="S471" s="4">
        <f t="shared" si="14"/>
        <v>8160</v>
      </c>
      <c r="T471" s="4">
        <v>-97</v>
      </c>
      <c r="U471" s="4">
        <f t="shared" si="15"/>
        <v>244.8</v>
      </c>
      <c r="V471" s="5">
        <v>0.672</v>
      </c>
      <c r="W471" s="6">
        <v>0.62</v>
      </c>
      <c r="AU471" s="3" t="s">
        <v>73</v>
      </c>
      <c r="AW471" s="2" t="s">
        <v>93</v>
      </c>
      <c r="AZ471" t="s">
        <v>1547</v>
      </c>
      <c r="BB471" s="7" t="str">
        <f>HYPERLINK("https://v360.in/diamondview.aspx?cid=preet&amp;d=HN-137-10","https://v360.in/diamondview.aspx?cid=preet&amp;d=HN-137-10")</f>
        <v>https://v360.in/diamondview.aspx?cid=preet&amp;d=HN-137-10</v>
      </c>
    </row>
    <row r="472" ht="15.75" spans="1:54">
      <c r="A472" s="2" t="s">
        <v>1548</v>
      </c>
      <c r="B472" s="3" t="s">
        <v>63</v>
      </c>
      <c r="C472" s="2" t="s">
        <v>1152</v>
      </c>
      <c r="D472" s="2">
        <v>1.02</v>
      </c>
      <c r="E472" s="2" t="s">
        <v>65</v>
      </c>
      <c r="F472" s="2" t="s">
        <v>143</v>
      </c>
      <c r="G472" s="2" t="s">
        <v>67</v>
      </c>
      <c r="H472" s="2" t="s">
        <v>68</v>
      </c>
      <c r="I472" s="2" t="s">
        <v>68</v>
      </c>
      <c r="J472" s="2" t="s">
        <v>70</v>
      </c>
      <c r="L472" s="2" t="s">
        <v>1549</v>
      </c>
      <c r="O472" t="s">
        <v>72</v>
      </c>
      <c r="P472" s="2">
        <v>561278589</v>
      </c>
      <c r="R472" s="2">
        <v>8000</v>
      </c>
      <c r="S472" s="4">
        <f t="shared" si="14"/>
        <v>8160</v>
      </c>
      <c r="T472" s="4">
        <v>-97</v>
      </c>
      <c r="U472" s="4">
        <f t="shared" si="15"/>
        <v>244.8</v>
      </c>
      <c r="V472" s="5">
        <v>0.699</v>
      </c>
      <c r="W472" s="2">
        <v>68</v>
      </c>
      <c r="AU472" s="3" t="s">
        <v>73</v>
      </c>
      <c r="AW472" s="2" t="s">
        <v>93</v>
      </c>
      <c r="AZ472" t="s">
        <v>1550</v>
      </c>
      <c r="BB472" s="7" t="str">
        <f>HYPERLINK("https://v360.in/diamondview.aspx?cid=preet&amp;d=HN-130-100","https://v360.in/diamondview.aspx?cid=preet&amp;d=HN-130-100")</f>
        <v>https://v360.in/diamondview.aspx?cid=preet&amp;d=HN-130-100</v>
      </c>
    </row>
    <row r="473" ht="15.75" spans="1:54">
      <c r="A473" s="2" t="s">
        <v>1551</v>
      </c>
      <c r="B473" s="3" t="s">
        <v>63</v>
      </c>
      <c r="C473" s="2" t="s">
        <v>1152</v>
      </c>
      <c r="D473" s="2">
        <v>1.02</v>
      </c>
      <c r="E473" s="2" t="s">
        <v>65</v>
      </c>
      <c r="F473" s="2" t="s">
        <v>66</v>
      </c>
      <c r="G473" s="2" t="s">
        <v>67</v>
      </c>
      <c r="H473" s="2" t="s">
        <v>68</v>
      </c>
      <c r="I473" s="2" t="s">
        <v>68</v>
      </c>
      <c r="J473" s="2" t="s">
        <v>70</v>
      </c>
      <c r="L473" s="2" t="s">
        <v>1552</v>
      </c>
      <c r="O473" t="s">
        <v>72</v>
      </c>
      <c r="P473" s="2">
        <v>566393780</v>
      </c>
      <c r="R473" s="2">
        <v>6900</v>
      </c>
      <c r="S473" s="4">
        <f t="shared" si="14"/>
        <v>7038</v>
      </c>
      <c r="T473" s="4">
        <v>-97</v>
      </c>
      <c r="U473" s="4">
        <f t="shared" si="15"/>
        <v>211.14</v>
      </c>
      <c r="V473" s="5">
        <v>0.654</v>
      </c>
      <c r="W473" s="5">
        <v>0.645</v>
      </c>
      <c r="AU473" s="3" t="s">
        <v>73</v>
      </c>
      <c r="AW473" s="2" t="s">
        <v>93</v>
      </c>
      <c r="AZ473" t="s">
        <v>1553</v>
      </c>
      <c r="BB473" s="7" t="str">
        <f>HYPERLINK("https://v360.in/diamondview.aspx?cid=preet&amp;d=HN-135-9","https://v360.in/diamondview.aspx?cid=preet&amp;d=HN-135-9")</f>
        <v>https://v360.in/diamondview.aspx?cid=preet&amp;d=HN-135-9</v>
      </c>
    </row>
    <row r="474" ht="15.75" spans="1:54">
      <c r="A474" s="2" t="s">
        <v>1554</v>
      </c>
      <c r="B474" s="3" t="s">
        <v>63</v>
      </c>
      <c r="C474" s="2" t="s">
        <v>1152</v>
      </c>
      <c r="D474" s="2">
        <v>1.02</v>
      </c>
      <c r="E474" s="2" t="s">
        <v>65</v>
      </c>
      <c r="F474" s="2" t="s">
        <v>91</v>
      </c>
      <c r="G474" s="2" t="s">
        <v>67</v>
      </c>
      <c r="H474" s="2" t="s">
        <v>68</v>
      </c>
      <c r="I474" s="2" t="s">
        <v>68</v>
      </c>
      <c r="J474" s="2" t="s">
        <v>70</v>
      </c>
      <c r="L474" s="2" t="s">
        <v>1555</v>
      </c>
      <c r="O474" t="s">
        <v>72</v>
      </c>
      <c r="P474" s="2">
        <v>547266588</v>
      </c>
      <c r="R474" s="2">
        <v>7500</v>
      </c>
      <c r="S474" s="4">
        <f t="shared" si="14"/>
        <v>7650</v>
      </c>
      <c r="T474" s="4">
        <v>-97</v>
      </c>
      <c r="U474" s="4">
        <f t="shared" si="15"/>
        <v>229.5</v>
      </c>
      <c r="V474" s="5">
        <v>0.634</v>
      </c>
      <c r="W474" s="5">
        <v>0.585</v>
      </c>
      <c r="AU474" s="3" t="s">
        <v>73</v>
      </c>
      <c r="AW474" s="2" t="s">
        <v>74</v>
      </c>
      <c r="AZ474" t="s">
        <v>1556</v>
      </c>
      <c r="BB474" s="7" t="str">
        <f>HYPERLINK("https://v360.in/diamondview.aspx?cid=meet&amp;d=HN-87-108","https://v360.in/diamondview.aspx?cid=meet&amp;d=HN-87-108")</f>
        <v>https://v360.in/diamondview.aspx?cid=meet&amp;d=HN-87-108</v>
      </c>
    </row>
    <row r="475" ht="15.75" spans="1:54">
      <c r="A475" s="2" t="s">
        <v>1557</v>
      </c>
      <c r="B475" s="3" t="s">
        <v>63</v>
      </c>
      <c r="C475" s="2" t="s">
        <v>1152</v>
      </c>
      <c r="D475" s="2">
        <v>1.02</v>
      </c>
      <c r="E475" s="2" t="s">
        <v>63</v>
      </c>
      <c r="F475" s="2" t="s">
        <v>143</v>
      </c>
      <c r="G475" s="2" t="s">
        <v>67</v>
      </c>
      <c r="H475" s="2" t="s">
        <v>68</v>
      </c>
      <c r="I475" s="2" t="s">
        <v>69</v>
      </c>
      <c r="J475" s="2" t="s">
        <v>70</v>
      </c>
      <c r="L475" s="2" t="s">
        <v>1558</v>
      </c>
      <c r="O475" t="s">
        <v>72</v>
      </c>
      <c r="P475" s="2">
        <v>524211505</v>
      </c>
      <c r="R475" s="2">
        <v>7300</v>
      </c>
      <c r="S475" s="4">
        <f t="shared" si="14"/>
        <v>7446</v>
      </c>
      <c r="T475" s="4">
        <v>-97</v>
      </c>
      <c r="U475" s="4">
        <f t="shared" si="15"/>
        <v>223.38</v>
      </c>
      <c r="V475" s="5">
        <v>0.723</v>
      </c>
      <c r="W475" s="5">
        <v>0.665</v>
      </c>
      <c r="AU475" s="3" t="s">
        <v>73</v>
      </c>
      <c r="AW475" s="2" t="s">
        <v>74</v>
      </c>
      <c r="AZ475" t="s">
        <v>1559</v>
      </c>
      <c r="BB475" s="7" t="str">
        <f>HYPERLINK("https://view.gem360.in/gem360/3004220500-HN43-25/gem360-3004220500-HN43-25.html","https://view.gem360.in/gem360/3004220500-HN43-25/gem360-3004220500-HN43-25.html")</f>
        <v>https://view.gem360.in/gem360/3004220500-HN43-25/gem360-3004220500-HN43-25.html</v>
      </c>
    </row>
    <row r="476" ht="15.75" spans="1:54">
      <c r="A476" s="2" t="s">
        <v>1560</v>
      </c>
      <c r="B476" s="3" t="s">
        <v>63</v>
      </c>
      <c r="C476" s="2" t="s">
        <v>1152</v>
      </c>
      <c r="D476" s="2">
        <v>1.02</v>
      </c>
      <c r="E476" s="2" t="s">
        <v>63</v>
      </c>
      <c r="F476" s="2" t="s">
        <v>66</v>
      </c>
      <c r="G476" s="2" t="s">
        <v>67</v>
      </c>
      <c r="H476" s="2" t="s">
        <v>68</v>
      </c>
      <c r="I476" s="2" t="s">
        <v>68</v>
      </c>
      <c r="J476" s="2" t="s">
        <v>70</v>
      </c>
      <c r="L476" s="2" t="s">
        <v>1561</v>
      </c>
      <c r="O476" t="s">
        <v>72</v>
      </c>
      <c r="P476" s="2">
        <v>566393803</v>
      </c>
      <c r="R476" s="2">
        <v>6600</v>
      </c>
      <c r="S476" s="4">
        <f t="shared" si="14"/>
        <v>6732</v>
      </c>
      <c r="T476" s="4">
        <v>-97</v>
      </c>
      <c r="U476" s="4">
        <f t="shared" si="15"/>
        <v>201.96</v>
      </c>
      <c r="V476" s="5">
        <v>0.656</v>
      </c>
      <c r="W476" s="5">
        <v>0.705</v>
      </c>
      <c r="AU476" s="3" t="s">
        <v>73</v>
      </c>
      <c r="AW476" s="2" t="s">
        <v>93</v>
      </c>
      <c r="AZ476" t="s">
        <v>1562</v>
      </c>
      <c r="BB476" s="7" t="str">
        <f>HYPERLINK("https://v360.in/diamondview.aspx?cid=preet&amp;d=HN-135-16","https://v360.in/diamondview.aspx?cid=preet&amp;d=HN-135-16")</f>
        <v>https://v360.in/diamondview.aspx?cid=preet&amp;d=HN-135-16</v>
      </c>
    </row>
    <row r="477" ht="15.75" spans="1:54">
      <c r="A477" s="2" t="s">
        <v>1563</v>
      </c>
      <c r="B477" s="3" t="s">
        <v>63</v>
      </c>
      <c r="C477" s="2" t="s">
        <v>1152</v>
      </c>
      <c r="D477" s="2">
        <v>1.02</v>
      </c>
      <c r="E477" s="2" t="s">
        <v>63</v>
      </c>
      <c r="F477" s="2" t="s">
        <v>91</v>
      </c>
      <c r="G477" s="2" t="s">
        <v>67</v>
      </c>
      <c r="H477" s="2" t="s">
        <v>68</v>
      </c>
      <c r="I477" s="2" t="s">
        <v>68</v>
      </c>
      <c r="J477" s="2" t="s">
        <v>70</v>
      </c>
      <c r="L477" s="2" t="s">
        <v>1564</v>
      </c>
      <c r="O477" t="s">
        <v>72</v>
      </c>
      <c r="P477" s="2">
        <v>569328540</v>
      </c>
      <c r="R477" s="2">
        <v>7000</v>
      </c>
      <c r="S477" s="4">
        <f t="shared" si="14"/>
        <v>7140</v>
      </c>
      <c r="T477" s="4">
        <v>-97</v>
      </c>
      <c r="U477" s="4">
        <f t="shared" si="15"/>
        <v>214.2</v>
      </c>
      <c r="V477" s="5">
        <v>0.656</v>
      </c>
      <c r="W477" s="5">
        <v>0.725</v>
      </c>
      <c r="AU477" s="3" t="s">
        <v>73</v>
      </c>
      <c r="AW477" s="2" t="s">
        <v>93</v>
      </c>
      <c r="AZ477" t="s">
        <v>1565</v>
      </c>
      <c r="BB477" s="7" t="str">
        <f>HYPERLINK("https://v360.in/diamondview.aspx?cid=preet&amp;d=HN-137-7","https://v360.in/diamondview.aspx?cid=preet&amp;d=HN-137-7")</f>
        <v>https://v360.in/diamondview.aspx?cid=preet&amp;d=HN-137-7</v>
      </c>
    </row>
    <row r="478" ht="15.75" spans="1:54">
      <c r="A478" s="2" t="s">
        <v>1566</v>
      </c>
      <c r="B478" s="3" t="s">
        <v>63</v>
      </c>
      <c r="C478" s="2" t="s">
        <v>1152</v>
      </c>
      <c r="D478" s="2">
        <v>1.02</v>
      </c>
      <c r="E478" s="2" t="s">
        <v>81</v>
      </c>
      <c r="F478" s="2" t="s">
        <v>91</v>
      </c>
      <c r="G478" s="2" t="s">
        <v>67</v>
      </c>
      <c r="H478" s="2" t="s">
        <v>68</v>
      </c>
      <c r="I478" s="2" t="s">
        <v>68</v>
      </c>
      <c r="J478" s="2" t="s">
        <v>70</v>
      </c>
      <c r="L478" s="2" t="s">
        <v>1567</v>
      </c>
      <c r="O478" t="s">
        <v>72</v>
      </c>
      <c r="P478" s="2">
        <v>524248663</v>
      </c>
      <c r="R478" s="2">
        <v>6000</v>
      </c>
      <c r="S478" s="4">
        <f t="shared" si="14"/>
        <v>6120</v>
      </c>
      <c r="T478" s="4">
        <v>-97</v>
      </c>
      <c r="U478" s="4">
        <f t="shared" si="15"/>
        <v>183.6</v>
      </c>
      <c r="V478" s="5">
        <v>0.631</v>
      </c>
      <c r="W478" s="6">
        <v>0.65</v>
      </c>
      <c r="AU478" s="3" t="s">
        <v>73</v>
      </c>
      <c r="AW478" s="2" t="s">
        <v>74</v>
      </c>
      <c r="AZ478" t="s">
        <v>1568</v>
      </c>
      <c r="BB478" s="7" t="str">
        <f>HYPERLINK("https://view.gem360.in/gem360/0905220523-HN40-117/gem360-0905220523-HN40-117.html","https://view.gem360.in/gem360/0905220523-HN40-117/gem360-0905220523-HN40-117.html")</f>
        <v>https://view.gem360.in/gem360/0905220523-HN40-117/gem360-0905220523-HN40-117.html</v>
      </c>
    </row>
    <row r="479" ht="15.75" spans="1:54">
      <c r="A479" s="2" t="s">
        <v>1569</v>
      </c>
      <c r="B479" s="3" t="s">
        <v>63</v>
      </c>
      <c r="C479" s="2" t="s">
        <v>1152</v>
      </c>
      <c r="D479" s="2">
        <v>1.01</v>
      </c>
      <c r="E479" s="2" t="s">
        <v>119</v>
      </c>
      <c r="F479" s="2" t="s">
        <v>91</v>
      </c>
      <c r="G479" s="2" t="s">
        <v>67</v>
      </c>
      <c r="H479" s="2" t="s">
        <v>68</v>
      </c>
      <c r="I479" s="2" t="s">
        <v>68</v>
      </c>
      <c r="J479" s="2" t="s">
        <v>70</v>
      </c>
      <c r="L479" s="2" t="s">
        <v>1570</v>
      </c>
      <c r="O479" t="s">
        <v>72</v>
      </c>
      <c r="P479" s="2">
        <v>567356401</v>
      </c>
      <c r="R479" s="2">
        <v>8000</v>
      </c>
      <c r="S479" s="4">
        <f t="shared" si="14"/>
        <v>8080</v>
      </c>
      <c r="T479" s="4">
        <v>-97</v>
      </c>
      <c r="U479" s="4">
        <f t="shared" si="15"/>
        <v>242.4</v>
      </c>
      <c r="V479" s="5">
        <v>0.659</v>
      </c>
      <c r="W479" s="5">
        <v>0.675</v>
      </c>
      <c r="AU479" s="3" t="s">
        <v>73</v>
      </c>
      <c r="AW479" s="2" t="s">
        <v>93</v>
      </c>
      <c r="AZ479" t="s">
        <v>1571</v>
      </c>
      <c r="BB479" s="7" t="str">
        <f>HYPERLINK("https://v360.in/diamondview.aspx?cid=preet&amp;d=HN-136-41","https://v360.in/diamondview.aspx?cid=preet&amp;d=HN-136-41")</f>
        <v>https://v360.in/diamondview.aspx?cid=preet&amp;d=HN-136-41</v>
      </c>
    </row>
    <row r="480" ht="15.75" spans="1:54">
      <c r="A480" s="2" t="s">
        <v>1572</v>
      </c>
      <c r="B480" s="3" t="s">
        <v>63</v>
      </c>
      <c r="C480" s="2" t="s">
        <v>1152</v>
      </c>
      <c r="D480" s="2">
        <v>1.01</v>
      </c>
      <c r="E480" s="2" t="s">
        <v>119</v>
      </c>
      <c r="F480" s="2" t="s">
        <v>91</v>
      </c>
      <c r="G480" s="2" t="s">
        <v>67</v>
      </c>
      <c r="H480" s="2" t="s">
        <v>68</v>
      </c>
      <c r="I480" s="2" t="s">
        <v>68</v>
      </c>
      <c r="J480" s="2" t="s">
        <v>70</v>
      </c>
      <c r="L480" s="2" t="s">
        <v>1573</v>
      </c>
      <c r="O480" t="s">
        <v>72</v>
      </c>
      <c r="P480" s="2">
        <v>567356394</v>
      </c>
      <c r="R480" s="2">
        <v>8000</v>
      </c>
      <c r="S480" s="4">
        <f t="shared" si="14"/>
        <v>8080</v>
      </c>
      <c r="T480" s="4">
        <v>-97</v>
      </c>
      <c r="U480" s="4">
        <f t="shared" si="15"/>
        <v>242.4</v>
      </c>
      <c r="V480" s="6">
        <v>0.65</v>
      </c>
      <c r="W480" s="5">
        <v>0.695</v>
      </c>
      <c r="AU480" s="3" t="s">
        <v>73</v>
      </c>
      <c r="AW480" s="2" t="s">
        <v>93</v>
      </c>
      <c r="AZ480" t="s">
        <v>1574</v>
      </c>
      <c r="BB480" s="7" t="str">
        <f>HYPERLINK("https://v360.in/diamondview.aspx?cid=preet&amp;d=HN-136-42","https://v360.in/diamondview.aspx?cid=preet&amp;d=HN-136-42")</f>
        <v>https://v360.in/diamondview.aspx?cid=preet&amp;d=HN-136-42</v>
      </c>
    </row>
    <row r="481" ht="15.75" spans="1:54">
      <c r="A481" s="2" t="s">
        <v>1575</v>
      </c>
      <c r="B481" s="3" t="s">
        <v>63</v>
      </c>
      <c r="C481" s="2" t="s">
        <v>1152</v>
      </c>
      <c r="D481" s="2">
        <v>1.01</v>
      </c>
      <c r="E481" s="2" t="s">
        <v>65</v>
      </c>
      <c r="F481" s="2" t="s">
        <v>143</v>
      </c>
      <c r="G481" s="2" t="s">
        <v>67</v>
      </c>
      <c r="H481" s="2" t="s">
        <v>68</v>
      </c>
      <c r="I481" s="2" t="s">
        <v>68</v>
      </c>
      <c r="J481" s="2" t="s">
        <v>70</v>
      </c>
      <c r="L481" s="2" t="s">
        <v>1576</v>
      </c>
      <c r="O481" t="s">
        <v>72</v>
      </c>
      <c r="P481" s="2">
        <v>566393781</v>
      </c>
      <c r="R481" s="2">
        <v>8000</v>
      </c>
      <c r="S481" s="4">
        <f t="shared" si="14"/>
        <v>8080</v>
      </c>
      <c r="T481" s="4">
        <v>-97</v>
      </c>
      <c r="U481" s="4">
        <f t="shared" si="15"/>
        <v>242.4</v>
      </c>
      <c r="V481" s="5">
        <v>0.704</v>
      </c>
      <c r="W481" s="5">
        <v>0.605</v>
      </c>
      <c r="AU481" s="3" t="s">
        <v>73</v>
      </c>
      <c r="AW481" s="2" t="s">
        <v>93</v>
      </c>
      <c r="AZ481" t="s">
        <v>1577</v>
      </c>
      <c r="BB481" s="7" t="str">
        <f>HYPERLINK("https://v360.in/diamondview.aspx?cid=preet&amp;d=HN-135-10","https://v360.in/diamondview.aspx?cid=preet&amp;d=HN-135-10")</f>
        <v>https://v360.in/diamondview.aspx?cid=preet&amp;d=HN-135-10</v>
      </c>
    </row>
    <row r="482" ht="15.75" spans="1:54">
      <c r="A482" s="2" t="s">
        <v>1578</v>
      </c>
      <c r="B482" s="3" t="s">
        <v>63</v>
      </c>
      <c r="C482" s="2" t="s">
        <v>1152</v>
      </c>
      <c r="D482" s="2">
        <v>1.01</v>
      </c>
      <c r="E482" s="2" t="s">
        <v>65</v>
      </c>
      <c r="F482" s="2" t="s">
        <v>66</v>
      </c>
      <c r="G482" s="2" t="s">
        <v>67</v>
      </c>
      <c r="H482" s="2" t="s">
        <v>68</v>
      </c>
      <c r="I482" s="2" t="s">
        <v>68</v>
      </c>
      <c r="J482" s="2" t="s">
        <v>70</v>
      </c>
      <c r="L482" s="2" t="s">
        <v>1579</v>
      </c>
      <c r="O482" t="s">
        <v>72</v>
      </c>
      <c r="P482" s="2">
        <v>553217215</v>
      </c>
      <c r="R482" s="2">
        <v>6900</v>
      </c>
      <c r="S482" s="4">
        <f t="shared" si="14"/>
        <v>6969</v>
      </c>
      <c r="T482" s="4">
        <v>-97</v>
      </c>
      <c r="U482" s="4">
        <f t="shared" si="15"/>
        <v>209.07</v>
      </c>
      <c r="V482" s="5">
        <v>0.691</v>
      </c>
      <c r="W482" s="6">
        <v>0.68</v>
      </c>
      <c r="AU482" s="3" t="s">
        <v>73</v>
      </c>
      <c r="AW482" s="2" t="s">
        <v>74</v>
      </c>
      <c r="AZ482" t="s">
        <v>1580</v>
      </c>
      <c r="BB482" s="7" t="str">
        <f>HYPERLINK("https://v360.in/diamondview.aspx?cid=preet&amp;d=HN-127-43","https://v360.in/diamondview.aspx?cid=preet&amp;d=HN-127-43")</f>
        <v>https://v360.in/diamondview.aspx?cid=preet&amp;d=HN-127-43</v>
      </c>
    </row>
    <row r="483" ht="15.75" spans="1:54">
      <c r="A483" s="2" t="s">
        <v>1581</v>
      </c>
      <c r="B483" s="3" t="s">
        <v>63</v>
      </c>
      <c r="C483" s="2" t="s">
        <v>1152</v>
      </c>
      <c r="D483" s="2">
        <v>1.01</v>
      </c>
      <c r="E483" s="2" t="s">
        <v>65</v>
      </c>
      <c r="F483" s="2" t="s">
        <v>66</v>
      </c>
      <c r="G483" s="2" t="s">
        <v>67</v>
      </c>
      <c r="H483" s="2" t="s">
        <v>68</v>
      </c>
      <c r="I483" s="2" t="s">
        <v>68</v>
      </c>
      <c r="J483" s="2" t="s">
        <v>70</v>
      </c>
      <c r="L483" s="2" t="s">
        <v>1582</v>
      </c>
      <c r="O483" t="s">
        <v>72</v>
      </c>
      <c r="P483" s="2">
        <v>524248666</v>
      </c>
      <c r="R483" s="2">
        <v>6900</v>
      </c>
      <c r="S483" s="4">
        <f t="shared" si="14"/>
        <v>6969</v>
      </c>
      <c r="T483" s="4">
        <v>-97</v>
      </c>
      <c r="U483" s="4">
        <f t="shared" si="15"/>
        <v>209.07</v>
      </c>
      <c r="V483" s="5">
        <v>0.629</v>
      </c>
      <c r="W483" s="5">
        <v>0.655</v>
      </c>
      <c r="AU483" s="3" t="s">
        <v>73</v>
      </c>
      <c r="AW483" s="2" t="s">
        <v>74</v>
      </c>
      <c r="AZ483" t="s">
        <v>1583</v>
      </c>
      <c r="BB483" s="7" t="str">
        <f>HYPERLINK("https://view.gem360.in/gem360/0905220534-HN43-177/gem360-0905220534-HN43-177.html","https://view.gem360.in/gem360/0905220534-HN43-177/gem360-0905220534-HN43-177.html")</f>
        <v>https://view.gem360.in/gem360/0905220534-HN43-177/gem360-0905220534-HN43-177.html</v>
      </c>
    </row>
    <row r="484" ht="15.75" spans="1:54">
      <c r="A484" s="2" t="s">
        <v>1584</v>
      </c>
      <c r="B484" s="3" t="s">
        <v>63</v>
      </c>
      <c r="C484" s="2" t="s">
        <v>1152</v>
      </c>
      <c r="D484" s="2">
        <v>1.01</v>
      </c>
      <c r="E484" s="2" t="s">
        <v>65</v>
      </c>
      <c r="F484" s="2" t="s">
        <v>66</v>
      </c>
      <c r="G484" s="2" t="s">
        <v>67</v>
      </c>
      <c r="H484" s="2" t="s">
        <v>68</v>
      </c>
      <c r="I484" s="2" t="s">
        <v>68</v>
      </c>
      <c r="J484" s="2" t="s">
        <v>70</v>
      </c>
      <c r="L484" s="2" t="s">
        <v>1585</v>
      </c>
      <c r="O484" t="s">
        <v>72</v>
      </c>
      <c r="P484" s="2">
        <v>550231414</v>
      </c>
      <c r="R484" s="2">
        <v>6900</v>
      </c>
      <c r="S484" s="4">
        <f t="shared" si="14"/>
        <v>6969</v>
      </c>
      <c r="T484" s="4">
        <v>-97</v>
      </c>
      <c r="U484" s="4">
        <f t="shared" si="15"/>
        <v>209.07</v>
      </c>
      <c r="V484" s="6">
        <v>0.68</v>
      </c>
      <c r="W484" s="6">
        <v>0.71</v>
      </c>
      <c r="AU484" s="3" t="s">
        <v>73</v>
      </c>
      <c r="AW484" s="2" t="s">
        <v>74</v>
      </c>
      <c r="AZ484" t="s">
        <v>1586</v>
      </c>
      <c r="BB484" s="7" t="str">
        <f>HYPERLINK("https://v360.in/diamondview.aspx?cid=preet&amp;d=HN-97-51","https://v360.in/diamondview.aspx?cid=preet&amp;d=HN-97-51")</f>
        <v>https://v360.in/diamondview.aspx?cid=preet&amp;d=HN-97-51</v>
      </c>
    </row>
    <row r="485" ht="15.75" spans="1:54">
      <c r="A485" s="2" t="s">
        <v>1587</v>
      </c>
      <c r="B485" s="3" t="s">
        <v>63</v>
      </c>
      <c r="C485" s="2" t="s">
        <v>1152</v>
      </c>
      <c r="D485" s="2">
        <v>1.01</v>
      </c>
      <c r="E485" s="2" t="s">
        <v>65</v>
      </c>
      <c r="F485" s="2" t="s">
        <v>91</v>
      </c>
      <c r="G485" s="2" t="s">
        <v>67</v>
      </c>
      <c r="H485" s="2" t="s">
        <v>68</v>
      </c>
      <c r="I485" s="2" t="s">
        <v>68</v>
      </c>
      <c r="J485" s="2" t="s">
        <v>70</v>
      </c>
      <c r="L485" s="2" t="s">
        <v>1588</v>
      </c>
      <c r="O485" t="s">
        <v>72</v>
      </c>
      <c r="P485" s="2">
        <v>524211506</v>
      </c>
      <c r="R485" s="2">
        <v>7500</v>
      </c>
      <c r="S485" s="4">
        <f t="shared" si="14"/>
        <v>7575</v>
      </c>
      <c r="T485" s="4">
        <v>-97</v>
      </c>
      <c r="U485" s="4">
        <f t="shared" si="15"/>
        <v>227.25</v>
      </c>
      <c r="V485" s="5">
        <v>0.655</v>
      </c>
      <c r="W485" s="5">
        <v>0.615</v>
      </c>
      <c r="AU485" s="3" t="s">
        <v>73</v>
      </c>
      <c r="AW485" s="2" t="s">
        <v>74</v>
      </c>
      <c r="AZ485" t="s">
        <v>1589</v>
      </c>
      <c r="BB485" s="7" t="str">
        <f>HYPERLINK("https://view.gem360.in/gem360/3004220508-HN43-29/gem360-3004220508-HN43-29.html","https://view.gem360.in/gem360/3004220508-HN43-29/gem360-3004220508-HN43-29.html")</f>
        <v>https://view.gem360.in/gem360/3004220508-HN43-29/gem360-3004220508-HN43-29.html</v>
      </c>
    </row>
    <row r="486" ht="15.75" spans="1:54">
      <c r="A486" s="2" t="s">
        <v>1590</v>
      </c>
      <c r="B486" s="3" t="s">
        <v>63</v>
      </c>
      <c r="C486" s="2" t="s">
        <v>1152</v>
      </c>
      <c r="D486" s="2">
        <v>1.01</v>
      </c>
      <c r="E486" s="2" t="s">
        <v>65</v>
      </c>
      <c r="F486" s="2" t="s">
        <v>91</v>
      </c>
      <c r="G486" s="2" t="s">
        <v>67</v>
      </c>
      <c r="H486" s="2" t="s">
        <v>68</v>
      </c>
      <c r="I486" s="2" t="s">
        <v>68</v>
      </c>
      <c r="J486" s="2" t="s">
        <v>70</v>
      </c>
      <c r="L486" s="2" t="s">
        <v>1591</v>
      </c>
      <c r="O486" t="s">
        <v>72</v>
      </c>
      <c r="P486" s="2">
        <v>570376232</v>
      </c>
      <c r="R486" s="2">
        <v>7500</v>
      </c>
      <c r="S486" s="4">
        <f t="shared" si="14"/>
        <v>7575</v>
      </c>
      <c r="T486" s="4">
        <v>-97</v>
      </c>
      <c r="U486" s="4">
        <f t="shared" si="15"/>
        <v>227.25</v>
      </c>
      <c r="V486" s="6">
        <v>0.61</v>
      </c>
      <c r="W486" s="6">
        <v>0.62</v>
      </c>
      <c r="AU486" s="3" t="s">
        <v>73</v>
      </c>
      <c r="AW486" s="2" t="s">
        <v>93</v>
      </c>
      <c r="AZ486" t="s">
        <v>1592</v>
      </c>
      <c r="BB486" s="7" t="str">
        <f>HYPERLINK("https://v360.in/diamondview.aspx?cid=preet&amp;d=HN-142-26","https://v360.in/diamondview.aspx?cid=preet&amp;d=HN-142-26")</f>
        <v>https://v360.in/diamondview.aspx?cid=preet&amp;d=HN-142-26</v>
      </c>
    </row>
    <row r="487" ht="15.75" spans="1:54">
      <c r="A487" s="2" t="s">
        <v>1593</v>
      </c>
      <c r="B487" s="3" t="s">
        <v>63</v>
      </c>
      <c r="C487" s="2" t="s">
        <v>1152</v>
      </c>
      <c r="D487" s="2">
        <v>1.01</v>
      </c>
      <c r="E487" s="2" t="s">
        <v>65</v>
      </c>
      <c r="F487" s="2" t="s">
        <v>91</v>
      </c>
      <c r="G487" s="2" t="s">
        <v>67</v>
      </c>
      <c r="H487" s="2" t="s">
        <v>68</v>
      </c>
      <c r="I487" s="2" t="s">
        <v>68</v>
      </c>
      <c r="J487" s="2" t="s">
        <v>70</v>
      </c>
      <c r="L487" s="2" t="s">
        <v>1594</v>
      </c>
      <c r="O487" t="s">
        <v>72</v>
      </c>
      <c r="P487" s="2">
        <v>567356399</v>
      </c>
      <c r="R487" s="2">
        <v>7500</v>
      </c>
      <c r="S487" s="4">
        <f t="shared" si="14"/>
        <v>7575</v>
      </c>
      <c r="T487" s="4">
        <v>-97</v>
      </c>
      <c r="U487" s="4">
        <f t="shared" si="15"/>
        <v>227.25</v>
      </c>
      <c r="V487" s="5">
        <v>0.677</v>
      </c>
      <c r="W487" s="6">
        <v>0.6</v>
      </c>
      <c r="AU487" s="3" t="s">
        <v>73</v>
      </c>
      <c r="AW487" s="2" t="s">
        <v>93</v>
      </c>
      <c r="AZ487" t="s">
        <v>1595</v>
      </c>
      <c r="BB487" s="7" t="str">
        <f>HYPERLINK("https://v360.in/diamondview.aspx?cid=preet&amp;d=HN-136-32","https://v360.in/diamondview.aspx?cid=preet&amp;d=HN-136-32")</f>
        <v>https://v360.in/diamondview.aspx?cid=preet&amp;d=HN-136-32</v>
      </c>
    </row>
    <row r="488" ht="15.75" spans="1:54">
      <c r="A488" s="2" t="s">
        <v>1596</v>
      </c>
      <c r="B488" s="3" t="s">
        <v>63</v>
      </c>
      <c r="C488" s="2" t="s">
        <v>1152</v>
      </c>
      <c r="D488" s="2">
        <v>1.01</v>
      </c>
      <c r="E488" s="2" t="s">
        <v>65</v>
      </c>
      <c r="F488" s="2" t="s">
        <v>91</v>
      </c>
      <c r="G488" s="2" t="s">
        <v>67</v>
      </c>
      <c r="H488" s="2" t="s">
        <v>68</v>
      </c>
      <c r="I488" s="2" t="s">
        <v>68</v>
      </c>
      <c r="J488" s="2" t="s">
        <v>70</v>
      </c>
      <c r="L488" s="2" t="s">
        <v>1597</v>
      </c>
      <c r="O488" t="s">
        <v>72</v>
      </c>
      <c r="P488" s="2">
        <v>567356397</v>
      </c>
      <c r="R488" s="2">
        <v>7500</v>
      </c>
      <c r="S488" s="4">
        <f t="shared" si="14"/>
        <v>7575</v>
      </c>
      <c r="T488" s="4">
        <v>-97</v>
      </c>
      <c r="U488" s="4">
        <f t="shared" si="15"/>
        <v>227.25</v>
      </c>
      <c r="V488" s="5">
        <v>0.645</v>
      </c>
      <c r="W488" s="6">
        <v>0.58</v>
      </c>
      <c r="AU488" s="3" t="s">
        <v>73</v>
      </c>
      <c r="AW488" s="2" t="s">
        <v>93</v>
      </c>
      <c r="AZ488" t="s">
        <v>1598</v>
      </c>
      <c r="BB488" s="7" t="str">
        <f>HYPERLINK("https://v360.in/diamondview.aspx?cid=preet&amp;d=HN-136-38","https://v360.in/diamondview.aspx?cid=preet&amp;d=HN-136-38")</f>
        <v>https://v360.in/diamondview.aspx?cid=preet&amp;d=HN-136-38</v>
      </c>
    </row>
    <row r="489" ht="15.75" spans="1:54">
      <c r="A489" s="2" t="s">
        <v>1599</v>
      </c>
      <c r="B489" s="3" t="s">
        <v>63</v>
      </c>
      <c r="C489" s="2" t="s">
        <v>1152</v>
      </c>
      <c r="D489" s="2">
        <v>1.01</v>
      </c>
      <c r="E489" s="2" t="s">
        <v>63</v>
      </c>
      <c r="F489" s="2" t="s">
        <v>143</v>
      </c>
      <c r="G489" s="2" t="s">
        <v>67</v>
      </c>
      <c r="H489" s="2" t="s">
        <v>68</v>
      </c>
      <c r="I489" s="2" t="s">
        <v>68</v>
      </c>
      <c r="J489" s="2" t="s">
        <v>70</v>
      </c>
      <c r="L489" s="2" t="s">
        <v>1600</v>
      </c>
      <c r="O489" t="s">
        <v>72</v>
      </c>
      <c r="P489" s="2">
        <v>569328538</v>
      </c>
      <c r="R489" s="2">
        <v>7300</v>
      </c>
      <c r="S489" s="4">
        <f t="shared" si="14"/>
        <v>7373</v>
      </c>
      <c r="T489" s="4">
        <v>-97</v>
      </c>
      <c r="U489" s="4">
        <f t="shared" si="15"/>
        <v>221.19</v>
      </c>
      <c r="V489" s="6">
        <v>0.7</v>
      </c>
      <c r="W489" s="5">
        <v>0.665</v>
      </c>
      <c r="AU489" s="3" t="s">
        <v>73</v>
      </c>
      <c r="AW489" s="2" t="s">
        <v>93</v>
      </c>
      <c r="AZ489" t="s">
        <v>1601</v>
      </c>
      <c r="BB489" s="7" t="str">
        <f>HYPERLINK("https://v360.in/diamondview.aspx?cid=preet&amp;d=HN-137-4","https://v360.in/diamondview.aspx?cid=preet&amp;d=HN-137-4")</f>
        <v>https://v360.in/diamondview.aspx?cid=preet&amp;d=HN-137-4</v>
      </c>
    </row>
    <row r="490" ht="15.75" spans="1:54">
      <c r="A490" s="2" t="s">
        <v>1602</v>
      </c>
      <c r="B490" s="3" t="s">
        <v>63</v>
      </c>
      <c r="C490" s="2" t="s">
        <v>1152</v>
      </c>
      <c r="D490" s="2">
        <v>1.01</v>
      </c>
      <c r="E490" s="2" t="s">
        <v>63</v>
      </c>
      <c r="F490" s="2" t="s">
        <v>66</v>
      </c>
      <c r="G490" s="2" t="s">
        <v>67</v>
      </c>
      <c r="H490" s="2" t="s">
        <v>68</v>
      </c>
      <c r="I490" s="2" t="s">
        <v>68</v>
      </c>
      <c r="J490" s="2" t="s">
        <v>70</v>
      </c>
      <c r="L490" s="2" t="s">
        <v>1603</v>
      </c>
      <c r="O490" t="s">
        <v>72</v>
      </c>
      <c r="P490" s="2">
        <v>570376202</v>
      </c>
      <c r="R490" s="2">
        <v>6600</v>
      </c>
      <c r="S490" s="4">
        <f t="shared" si="14"/>
        <v>6666</v>
      </c>
      <c r="T490" s="4">
        <v>-97</v>
      </c>
      <c r="U490" s="4">
        <f t="shared" si="15"/>
        <v>199.98</v>
      </c>
      <c r="V490" s="5">
        <v>0.666</v>
      </c>
      <c r="W490" s="6">
        <v>0.61</v>
      </c>
      <c r="AU490" s="3" t="s">
        <v>73</v>
      </c>
      <c r="AW490" s="2" t="s">
        <v>93</v>
      </c>
      <c r="AZ490" t="s">
        <v>1604</v>
      </c>
      <c r="BB490" s="7" t="str">
        <f>HYPERLINK("https://v360.in/diamondview.aspx?cid=preet&amp;d=HN-148-18","https://v360.in/diamondview.aspx?cid=preet&amp;d=HN-148-18")</f>
        <v>https://v360.in/diamondview.aspx?cid=preet&amp;d=HN-148-18</v>
      </c>
    </row>
    <row r="491" ht="15.75" spans="1:54">
      <c r="A491" s="2" t="s">
        <v>1605</v>
      </c>
      <c r="B491" s="3" t="s">
        <v>63</v>
      </c>
      <c r="C491" s="2" t="s">
        <v>1152</v>
      </c>
      <c r="D491" s="2">
        <v>1.01</v>
      </c>
      <c r="E491" s="2" t="s">
        <v>63</v>
      </c>
      <c r="F491" s="2" t="s">
        <v>66</v>
      </c>
      <c r="G491" s="2" t="s">
        <v>67</v>
      </c>
      <c r="H491" s="2" t="s">
        <v>68</v>
      </c>
      <c r="I491" s="2" t="s">
        <v>68</v>
      </c>
      <c r="J491" s="2" t="s">
        <v>70</v>
      </c>
      <c r="L491" s="2" t="s">
        <v>1606</v>
      </c>
      <c r="O491" t="s">
        <v>72</v>
      </c>
      <c r="P491" s="2">
        <v>570376231</v>
      </c>
      <c r="R491" s="2">
        <v>6600</v>
      </c>
      <c r="S491" s="4">
        <f t="shared" si="14"/>
        <v>6666</v>
      </c>
      <c r="T491" s="4">
        <v>-97</v>
      </c>
      <c r="U491" s="4">
        <f t="shared" si="15"/>
        <v>199.98</v>
      </c>
      <c r="V491" s="6">
        <v>0.67</v>
      </c>
      <c r="W491" s="6">
        <v>0.62</v>
      </c>
      <c r="AU491" s="3" t="s">
        <v>73</v>
      </c>
      <c r="AW491" s="2" t="s">
        <v>93</v>
      </c>
      <c r="AZ491" t="s">
        <v>1607</v>
      </c>
      <c r="BB491" s="7" t="str">
        <f>HYPERLINK("https://v360.in/diamondview.aspx?cid=preet&amp;d=HN-142-24","https://v360.in/diamondview.aspx?cid=preet&amp;d=HN-142-24")</f>
        <v>https://v360.in/diamondview.aspx?cid=preet&amp;d=HN-142-24</v>
      </c>
    </row>
    <row r="492" ht="15.75" spans="1:54">
      <c r="A492" s="2" t="s">
        <v>1608</v>
      </c>
      <c r="B492" s="3" t="s">
        <v>63</v>
      </c>
      <c r="C492" s="2" t="s">
        <v>1152</v>
      </c>
      <c r="D492" s="2">
        <v>1.01</v>
      </c>
      <c r="E492" s="2" t="s">
        <v>63</v>
      </c>
      <c r="F492" s="2" t="s">
        <v>91</v>
      </c>
      <c r="G492" s="2" t="s">
        <v>67</v>
      </c>
      <c r="H492" s="2" t="s">
        <v>68</v>
      </c>
      <c r="I492" s="2" t="s">
        <v>68</v>
      </c>
      <c r="J492" s="2" t="s">
        <v>70</v>
      </c>
      <c r="L492" s="2" t="s">
        <v>1609</v>
      </c>
      <c r="O492" t="s">
        <v>72</v>
      </c>
      <c r="P492" s="2">
        <v>564365286</v>
      </c>
      <c r="R492" s="2">
        <v>7000</v>
      </c>
      <c r="S492" s="4">
        <f t="shared" si="14"/>
        <v>7070</v>
      </c>
      <c r="T492" s="4">
        <v>-97</v>
      </c>
      <c r="U492" s="4">
        <f t="shared" si="15"/>
        <v>212.1</v>
      </c>
      <c r="V492" s="5">
        <v>0.648</v>
      </c>
      <c r="W492" s="5">
        <v>0.635</v>
      </c>
      <c r="AU492" s="3" t="s">
        <v>73</v>
      </c>
      <c r="AW492" s="2" t="s">
        <v>93</v>
      </c>
      <c r="AZ492" t="s">
        <v>1610</v>
      </c>
      <c r="BB492" s="7" t="str">
        <f>HYPERLINK("https://v360.in/diamondview.aspx?cid=preet&amp;d=HN-134-74","https://v360.in/diamondview.aspx?cid=preet&amp;d=HN-134-74")</f>
        <v>https://v360.in/diamondview.aspx?cid=preet&amp;d=HN-134-74</v>
      </c>
    </row>
    <row r="493" ht="15.75" spans="1:54">
      <c r="A493" s="2" t="s">
        <v>1611</v>
      </c>
      <c r="B493" s="3" t="s">
        <v>63</v>
      </c>
      <c r="C493" s="2" t="s">
        <v>1152</v>
      </c>
      <c r="D493" s="2">
        <v>1.01</v>
      </c>
      <c r="E493" s="2" t="s">
        <v>63</v>
      </c>
      <c r="F493" s="2" t="s">
        <v>314</v>
      </c>
      <c r="G493" s="2" t="s">
        <v>67</v>
      </c>
      <c r="H493" s="2" t="s">
        <v>68</v>
      </c>
      <c r="I493" s="2" t="s">
        <v>68</v>
      </c>
      <c r="J493" s="2" t="s">
        <v>70</v>
      </c>
      <c r="L493" s="2" t="s">
        <v>1612</v>
      </c>
      <c r="O493" t="s">
        <v>72</v>
      </c>
      <c r="P493" s="2">
        <v>528205263</v>
      </c>
      <c r="R493" s="2">
        <v>4700</v>
      </c>
      <c r="S493" s="4">
        <f t="shared" si="14"/>
        <v>4747</v>
      </c>
      <c r="T493" s="4">
        <v>-97</v>
      </c>
      <c r="U493" s="4">
        <f t="shared" si="15"/>
        <v>142.41</v>
      </c>
      <c r="V493" s="6">
        <v>0.71</v>
      </c>
      <c r="W493" s="6">
        <v>0.67</v>
      </c>
      <c r="AU493" s="3" t="s">
        <v>73</v>
      </c>
      <c r="AW493" s="2" t="s">
        <v>74</v>
      </c>
      <c r="AZ493" t="s">
        <v>1613</v>
      </c>
      <c r="BB493" s="7" t="str">
        <f>HYPERLINK("https://view.gem360.in/gem360/2005220649-HN44-9/gem360-2005220649-HN44-9.html","https://view.gem360.in/gem360/2005220649-HN44-9/gem360-2005220649-HN44-9.html")</f>
        <v>https://view.gem360.in/gem360/2005220649-HN44-9/gem360-2005220649-HN44-9.html</v>
      </c>
    </row>
    <row r="494" ht="15.75" spans="1:54">
      <c r="A494" s="2" t="s">
        <v>1614</v>
      </c>
      <c r="B494" s="3" t="s">
        <v>63</v>
      </c>
      <c r="C494" s="2" t="s">
        <v>1152</v>
      </c>
      <c r="D494" s="2">
        <v>1.01</v>
      </c>
      <c r="E494" s="2" t="s">
        <v>81</v>
      </c>
      <c r="F494" s="2" t="s">
        <v>91</v>
      </c>
      <c r="G494" s="2" t="s">
        <v>67</v>
      </c>
      <c r="H494" s="2" t="s">
        <v>68</v>
      </c>
      <c r="I494" s="2" t="s">
        <v>68</v>
      </c>
      <c r="J494" s="2" t="s">
        <v>70</v>
      </c>
      <c r="L494" s="2" t="s">
        <v>1615</v>
      </c>
      <c r="O494" t="s">
        <v>72</v>
      </c>
      <c r="P494" s="2">
        <v>547248641</v>
      </c>
      <c r="R494" s="2">
        <v>6000</v>
      </c>
      <c r="S494" s="4">
        <f t="shared" si="14"/>
        <v>6060</v>
      </c>
      <c r="T494" s="4">
        <v>-97</v>
      </c>
      <c r="U494" s="4">
        <f t="shared" si="15"/>
        <v>181.8</v>
      </c>
      <c r="V494" s="5">
        <v>0.711</v>
      </c>
      <c r="W494" s="6">
        <v>0.61</v>
      </c>
      <c r="AU494" s="3" t="s">
        <v>73</v>
      </c>
      <c r="AW494" s="2" t="s">
        <v>74</v>
      </c>
      <c r="AZ494" t="s">
        <v>1616</v>
      </c>
      <c r="BB494" s="7" t="str">
        <f>HYPERLINK("https://v360.in/diamondview.aspx?cid=meet&amp;d=HN-86-76","https://v360.in/diamondview.aspx?cid=meet&amp;d=HN-86-76")</f>
        <v>https://v360.in/diamondview.aspx?cid=meet&amp;d=HN-86-76</v>
      </c>
    </row>
    <row r="495" ht="15.75" spans="1:54">
      <c r="A495" s="2" t="s">
        <v>1617</v>
      </c>
      <c r="B495" s="3" t="s">
        <v>63</v>
      </c>
      <c r="C495" s="2" t="s">
        <v>1152</v>
      </c>
      <c r="D495" s="2">
        <v>1.01</v>
      </c>
      <c r="E495" s="2" t="s">
        <v>81</v>
      </c>
      <c r="F495" s="2" t="s">
        <v>91</v>
      </c>
      <c r="G495" s="2" t="s">
        <v>67</v>
      </c>
      <c r="H495" s="2" t="s">
        <v>68</v>
      </c>
      <c r="I495" s="2" t="s">
        <v>68</v>
      </c>
      <c r="J495" s="2" t="s">
        <v>70</v>
      </c>
      <c r="L495" s="2" t="s">
        <v>1618</v>
      </c>
      <c r="O495" t="s">
        <v>72</v>
      </c>
      <c r="P495" s="2">
        <v>567356400</v>
      </c>
      <c r="R495" s="2">
        <v>6000</v>
      </c>
      <c r="S495" s="4">
        <f t="shared" si="14"/>
        <v>6060</v>
      </c>
      <c r="T495" s="4">
        <v>-97</v>
      </c>
      <c r="U495" s="4">
        <f t="shared" si="15"/>
        <v>181.8</v>
      </c>
      <c r="V495" s="6">
        <v>0.62</v>
      </c>
      <c r="W495" s="6">
        <v>0.68</v>
      </c>
      <c r="AU495" s="3" t="s">
        <v>73</v>
      </c>
      <c r="AW495" s="2" t="s">
        <v>93</v>
      </c>
      <c r="AZ495" t="s">
        <v>1619</v>
      </c>
      <c r="BB495" s="7" t="str">
        <f>HYPERLINK("https://v360.in/diamondview.aspx?cid=preet&amp;d=HN-136-35","https://v360.in/diamondview.aspx?cid=preet&amp;d=HN-136-35")</f>
        <v>https://v360.in/diamondview.aspx?cid=preet&amp;d=HN-136-35</v>
      </c>
    </row>
    <row r="496" ht="15.75" spans="1:54">
      <c r="A496" s="2" t="s">
        <v>1620</v>
      </c>
      <c r="B496" s="3" t="s">
        <v>63</v>
      </c>
      <c r="C496" s="2" t="s">
        <v>1152</v>
      </c>
      <c r="D496" s="2">
        <v>1.01</v>
      </c>
      <c r="E496" s="2" t="s">
        <v>81</v>
      </c>
      <c r="F496" s="2" t="s">
        <v>91</v>
      </c>
      <c r="G496" s="2" t="s">
        <v>67</v>
      </c>
      <c r="H496" s="2" t="s">
        <v>68</v>
      </c>
      <c r="I496" s="2" t="s">
        <v>69</v>
      </c>
      <c r="J496" s="2" t="s">
        <v>70</v>
      </c>
      <c r="L496" s="2" t="s">
        <v>1621</v>
      </c>
      <c r="O496" t="s">
        <v>72</v>
      </c>
      <c r="P496" s="2">
        <v>566393795</v>
      </c>
      <c r="R496" s="2">
        <v>6000</v>
      </c>
      <c r="S496" s="4">
        <f t="shared" si="14"/>
        <v>6060</v>
      </c>
      <c r="T496" s="4">
        <v>-97</v>
      </c>
      <c r="U496" s="4">
        <f t="shared" si="15"/>
        <v>181.8</v>
      </c>
      <c r="V496" s="5">
        <v>0.646</v>
      </c>
      <c r="W496" s="5">
        <v>0.605</v>
      </c>
      <c r="AU496" s="3" t="s">
        <v>73</v>
      </c>
      <c r="AW496" s="2" t="s">
        <v>93</v>
      </c>
      <c r="AZ496" t="s">
        <v>1622</v>
      </c>
      <c r="BB496" s="7" t="str">
        <f>HYPERLINK("https://v360.in/diamondview.aspx?cid=preet&amp;d=HN-135-41","https://v360.in/diamondview.aspx?cid=preet&amp;d=HN-135-41")</f>
        <v>https://v360.in/diamondview.aspx?cid=preet&amp;d=HN-135-41</v>
      </c>
    </row>
    <row r="497" ht="15.75" spans="1:54">
      <c r="A497" s="2" t="s">
        <v>1623</v>
      </c>
      <c r="B497" s="3" t="s">
        <v>63</v>
      </c>
      <c r="C497" s="2" t="s">
        <v>1152</v>
      </c>
      <c r="D497" s="2">
        <v>1.01</v>
      </c>
      <c r="E497" s="2" t="s">
        <v>81</v>
      </c>
      <c r="F497" s="2" t="s">
        <v>91</v>
      </c>
      <c r="G497" s="2" t="s">
        <v>67</v>
      </c>
      <c r="H497" s="2" t="s">
        <v>68</v>
      </c>
      <c r="I497" s="2" t="s">
        <v>68</v>
      </c>
      <c r="J497" s="2" t="s">
        <v>70</v>
      </c>
      <c r="L497" s="2" t="s">
        <v>1624</v>
      </c>
      <c r="O497" t="s">
        <v>72</v>
      </c>
      <c r="P497" s="2">
        <v>570370836</v>
      </c>
      <c r="R497" s="2">
        <v>6000</v>
      </c>
      <c r="S497" s="4">
        <f t="shared" si="14"/>
        <v>6060</v>
      </c>
      <c r="T497" s="4">
        <v>-97</v>
      </c>
      <c r="U497" s="4">
        <f t="shared" si="15"/>
        <v>181.8</v>
      </c>
      <c r="V497" s="5">
        <v>0.636</v>
      </c>
      <c r="W497" s="5">
        <v>0.705</v>
      </c>
      <c r="AU497" s="3" t="s">
        <v>73</v>
      </c>
      <c r="AW497" s="2" t="s">
        <v>93</v>
      </c>
      <c r="AZ497" t="s">
        <v>1625</v>
      </c>
      <c r="BB497" s="7" t="str">
        <f>HYPERLINK("https://v360.in/diamondview.aspx?cid=preet&amp;d=HN-147-14","https://v360.in/diamondview.aspx?cid=preet&amp;d=HN-147-14")</f>
        <v>https://v360.in/diamondview.aspx?cid=preet&amp;d=HN-147-14</v>
      </c>
    </row>
    <row r="498" ht="15.75" spans="1:54">
      <c r="A498" s="2" t="s">
        <v>1626</v>
      </c>
      <c r="B498" s="3" t="s">
        <v>63</v>
      </c>
      <c r="C498" s="2" t="s">
        <v>1152</v>
      </c>
      <c r="D498" s="2">
        <v>1.01</v>
      </c>
      <c r="E498" s="2" t="s">
        <v>81</v>
      </c>
      <c r="F498" s="2" t="s">
        <v>155</v>
      </c>
      <c r="G498" s="2" t="s">
        <v>67</v>
      </c>
      <c r="H498" s="2" t="s">
        <v>68</v>
      </c>
      <c r="I498" s="2" t="s">
        <v>68</v>
      </c>
      <c r="J498" s="2" t="s">
        <v>70</v>
      </c>
      <c r="L498" s="2" t="s">
        <v>1627</v>
      </c>
      <c r="O498" t="s">
        <v>72</v>
      </c>
      <c r="P498" s="2">
        <v>524248664</v>
      </c>
      <c r="R498" s="2">
        <v>5000</v>
      </c>
      <c r="S498" s="4">
        <f t="shared" si="14"/>
        <v>5050</v>
      </c>
      <c r="T498" s="4">
        <v>-97</v>
      </c>
      <c r="U498" s="4">
        <f t="shared" si="15"/>
        <v>151.5</v>
      </c>
      <c r="V498" s="5">
        <v>0.654</v>
      </c>
      <c r="W498" s="5">
        <v>0.655</v>
      </c>
      <c r="AU498" s="3" t="s">
        <v>73</v>
      </c>
      <c r="AW498" s="2" t="s">
        <v>74</v>
      </c>
      <c r="AZ498" t="s">
        <v>1628</v>
      </c>
      <c r="BB498" s="7" t="str">
        <f>HYPERLINK("https://view.gem360.in/gem360/0905220530-HN40-115/gem360-0905220530-HN40-115.html","https://view.gem360.in/gem360/0905220530-HN40-115/gem360-0905220530-HN40-115.html")</f>
        <v>https://view.gem360.in/gem360/0905220530-HN40-115/gem360-0905220530-HN40-115.html</v>
      </c>
    </row>
    <row r="499" ht="15.75" spans="1:54">
      <c r="A499" s="2" t="s">
        <v>1629</v>
      </c>
      <c r="B499" s="3" t="s">
        <v>63</v>
      </c>
      <c r="C499" s="2" t="s">
        <v>1152</v>
      </c>
      <c r="D499" s="2">
        <v>1</v>
      </c>
      <c r="E499" s="2" t="s">
        <v>119</v>
      </c>
      <c r="F499" s="2" t="s">
        <v>66</v>
      </c>
      <c r="G499" s="2" t="s">
        <v>67</v>
      </c>
      <c r="H499" s="2" t="s">
        <v>68</v>
      </c>
      <c r="I499" s="2" t="s">
        <v>69</v>
      </c>
      <c r="J499" s="2" t="s">
        <v>70</v>
      </c>
      <c r="L499" s="2" t="s">
        <v>1630</v>
      </c>
      <c r="O499" t="s">
        <v>72</v>
      </c>
      <c r="P499" s="2">
        <v>566393802</v>
      </c>
      <c r="R499" s="2">
        <v>7200</v>
      </c>
      <c r="S499" s="4">
        <f t="shared" si="14"/>
        <v>7200</v>
      </c>
      <c r="T499" s="4">
        <v>-97</v>
      </c>
      <c r="U499" s="4">
        <f t="shared" si="15"/>
        <v>216</v>
      </c>
      <c r="V499" s="5">
        <v>0.673</v>
      </c>
      <c r="W499" s="5">
        <v>0.685</v>
      </c>
      <c r="AU499" s="3" t="s">
        <v>73</v>
      </c>
      <c r="AW499" s="2" t="s">
        <v>93</v>
      </c>
      <c r="AZ499" t="s">
        <v>1631</v>
      </c>
      <c r="BB499" s="7" t="str">
        <f>HYPERLINK("https://v360.in/diamondview.aspx?cid=preet&amp;d=HN-135-13","https://v360.in/diamondview.aspx?cid=preet&amp;d=HN-135-13")</f>
        <v>https://v360.in/diamondview.aspx?cid=preet&amp;d=HN-135-13</v>
      </c>
    </row>
    <row r="500" ht="15.75" spans="1:54">
      <c r="A500" s="2" t="s">
        <v>1632</v>
      </c>
      <c r="B500" s="3" t="s">
        <v>63</v>
      </c>
      <c r="C500" s="2" t="s">
        <v>1152</v>
      </c>
      <c r="D500" s="2">
        <v>1</v>
      </c>
      <c r="E500" s="2" t="s">
        <v>119</v>
      </c>
      <c r="F500" s="2" t="s">
        <v>91</v>
      </c>
      <c r="G500" s="2" t="s">
        <v>67</v>
      </c>
      <c r="H500" s="2" t="s">
        <v>69</v>
      </c>
      <c r="I500" s="2" t="s">
        <v>69</v>
      </c>
      <c r="J500" s="2" t="s">
        <v>70</v>
      </c>
      <c r="L500" s="2" t="s">
        <v>1633</v>
      </c>
      <c r="O500" t="s">
        <v>72</v>
      </c>
      <c r="P500" s="2">
        <v>517289734</v>
      </c>
      <c r="R500" s="2">
        <v>8000</v>
      </c>
      <c r="S500" s="4">
        <f t="shared" si="14"/>
        <v>8000</v>
      </c>
      <c r="T500" s="4">
        <v>-97</v>
      </c>
      <c r="U500" s="4">
        <f t="shared" si="15"/>
        <v>240</v>
      </c>
      <c r="V500" s="5">
        <v>0.599</v>
      </c>
      <c r="W500" s="6">
        <v>0.65</v>
      </c>
      <c r="AU500" s="3" t="s">
        <v>73</v>
      </c>
      <c r="AW500" s="2" t="s">
        <v>74</v>
      </c>
      <c r="AZ500" t="s">
        <v>1634</v>
      </c>
      <c r="BB500" s="7" t="str">
        <f>HYPERLINK("","")</f>
        <v/>
      </c>
    </row>
    <row r="501" ht="15.75" spans="1:54">
      <c r="A501" s="2" t="s">
        <v>1635</v>
      </c>
      <c r="B501" s="3" t="s">
        <v>63</v>
      </c>
      <c r="C501" s="2" t="s">
        <v>1152</v>
      </c>
      <c r="D501" s="2">
        <v>1</v>
      </c>
      <c r="E501" s="2" t="s">
        <v>119</v>
      </c>
      <c r="F501" s="2" t="s">
        <v>91</v>
      </c>
      <c r="G501" s="2" t="s">
        <v>67</v>
      </c>
      <c r="H501" s="2" t="s">
        <v>68</v>
      </c>
      <c r="I501" s="2" t="s">
        <v>68</v>
      </c>
      <c r="J501" s="2" t="s">
        <v>70</v>
      </c>
      <c r="L501" s="2" t="s">
        <v>1636</v>
      </c>
      <c r="O501" t="s">
        <v>72</v>
      </c>
      <c r="P501" s="2">
        <v>544276932</v>
      </c>
      <c r="R501" s="2">
        <v>8000</v>
      </c>
      <c r="S501" s="4">
        <f t="shared" si="14"/>
        <v>8000</v>
      </c>
      <c r="T501" s="4">
        <v>-97</v>
      </c>
      <c r="U501" s="4">
        <f t="shared" si="15"/>
        <v>240</v>
      </c>
      <c r="V501" s="5">
        <v>0.679</v>
      </c>
      <c r="W501" s="5">
        <v>0.645</v>
      </c>
      <c r="AU501" s="3" t="s">
        <v>73</v>
      </c>
      <c r="AW501" s="2" t="s">
        <v>74</v>
      </c>
      <c r="AZ501" t="s">
        <v>1637</v>
      </c>
      <c r="BB501" s="7" t="str">
        <f>HYPERLINK("https://v360.in/diamondview.aspx?cid=meet&amp;d=HN-85-70","https://v360.in/diamondview.aspx?cid=meet&amp;d=HN-85-70")</f>
        <v>https://v360.in/diamondview.aspx?cid=meet&amp;d=HN-85-70</v>
      </c>
    </row>
    <row r="502" ht="15.75" spans="1:54">
      <c r="A502" s="2" t="s">
        <v>1638</v>
      </c>
      <c r="B502" s="3" t="s">
        <v>63</v>
      </c>
      <c r="C502" s="2" t="s">
        <v>1152</v>
      </c>
      <c r="D502" s="2">
        <v>1</v>
      </c>
      <c r="E502" s="2" t="s">
        <v>65</v>
      </c>
      <c r="F502" s="2" t="s">
        <v>143</v>
      </c>
      <c r="G502" s="2" t="s">
        <v>67</v>
      </c>
      <c r="H502" s="2" t="s">
        <v>68</v>
      </c>
      <c r="I502" s="2" t="s">
        <v>68</v>
      </c>
      <c r="J502" s="2" t="s">
        <v>70</v>
      </c>
      <c r="L502" s="2" t="s">
        <v>1639</v>
      </c>
      <c r="O502" t="s">
        <v>72</v>
      </c>
      <c r="P502" s="2">
        <v>571307666</v>
      </c>
      <c r="R502" s="2">
        <v>8000</v>
      </c>
      <c r="S502" s="4">
        <f t="shared" si="14"/>
        <v>8000</v>
      </c>
      <c r="T502" s="4">
        <v>-97</v>
      </c>
      <c r="U502" s="4">
        <f t="shared" si="15"/>
        <v>240</v>
      </c>
      <c r="V502" s="5">
        <v>0.683</v>
      </c>
      <c r="W502" s="5">
        <v>0.675</v>
      </c>
      <c r="AU502" s="3" t="s">
        <v>73</v>
      </c>
      <c r="AW502" s="2" t="s">
        <v>93</v>
      </c>
      <c r="AZ502" t="s">
        <v>1640</v>
      </c>
      <c r="BB502" s="7" t="s">
        <v>1641</v>
      </c>
    </row>
    <row r="503" ht="15.75" spans="1:54">
      <c r="A503" s="2" t="s">
        <v>1642</v>
      </c>
      <c r="B503" s="3" t="s">
        <v>63</v>
      </c>
      <c r="C503" s="2" t="s">
        <v>1152</v>
      </c>
      <c r="D503" s="2">
        <v>1</v>
      </c>
      <c r="E503" s="2" t="s">
        <v>65</v>
      </c>
      <c r="F503" s="2" t="s">
        <v>66</v>
      </c>
      <c r="G503" s="2" t="s">
        <v>67</v>
      </c>
      <c r="H503" s="2" t="s">
        <v>68</v>
      </c>
      <c r="I503" s="2" t="s">
        <v>69</v>
      </c>
      <c r="J503" s="2" t="s">
        <v>70</v>
      </c>
      <c r="L503" s="2" t="s">
        <v>1643</v>
      </c>
      <c r="O503" t="s">
        <v>72</v>
      </c>
      <c r="P503" s="2">
        <v>547265231</v>
      </c>
      <c r="R503" s="2">
        <v>6900</v>
      </c>
      <c r="S503" s="4">
        <f t="shared" si="14"/>
        <v>6900</v>
      </c>
      <c r="T503" s="4">
        <v>-97</v>
      </c>
      <c r="U503" s="4">
        <f t="shared" si="15"/>
        <v>207</v>
      </c>
      <c r="V503" s="5">
        <v>0.669</v>
      </c>
      <c r="W503" s="6">
        <v>0.69</v>
      </c>
      <c r="AU503" s="3" t="s">
        <v>73</v>
      </c>
      <c r="AW503" s="2" t="s">
        <v>74</v>
      </c>
      <c r="AZ503" t="s">
        <v>1644</v>
      </c>
      <c r="BB503" s="7" t="str">
        <f>HYPERLINK("","")</f>
        <v/>
      </c>
    </row>
    <row r="504" ht="15.75" spans="1:54">
      <c r="A504" s="2" t="s">
        <v>1645</v>
      </c>
      <c r="B504" s="3" t="s">
        <v>63</v>
      </c>
      <c r="C504" s="2" t="s">
        <v>1152</v>
      </c>
      <c r="D504" s="2">
        <v>1</v>
      </c>
      <c r="E504" s="2" t="s">
        <v>65</v>
      </c>
      <c r="F504" s="2" t="s">
        <v>66</v>
      </c>
      <c r="G504" s="2" t="s">
        <v>67</v>
      </c>
      <c r="H504" s="2" t="s">
        <v>68</v>
      </c>
      <c r="I504" s="2" t="s">
        <v>68</v>
      </c>
      <c r="J504" s="2" t="s">
        <v>70</v>
      </c>
      <c r="L504" s="2" t="s">
        <v>1646</v>
      </c>
      <c r="O504" t="s">
        <v>72</v>
      </c>
      <c r="P504" s="2">
        <v>553259911</v>
      </c>
      <c r="R504" s="2">
        <v>6900</v>
      </c>
      <c r="S504" s="4">
        <f t="shared" si="14"/>
        <v>6900</v>
      </c>
      <c r="T504" s="4">
        <v>-97</v>
      </c>
      <c r="U504" s="4">
        <f t="shared" si="15"/>
        <v>207</v>
      </c>
      <c r="V504" s="5">
        <v>0.695</v>
      </c>
      <c r="W504" s="5">
        <v>0.705</v>
      </c>
      <c r="AU504" s="3" t="s">
        <v>73</v>
      </c>
      <c r="AW504" s="2" t="s">
        <v>74</v>
      </c>
      <c r="AZ504" t="s">
        <v>1647</v>
      </c>
      <c r="BB504" s="7" t="str">
        <f>HYPERLINK("https://v360.in/diamondview.aspx?cid=preet&amp;d=HN-127-21","https://v360.in/diamondview.aspx?cid=preet&amp;d=HN-127-21")</f>
        <v>https://v360.in/diamondview.aspx?cid=preet&amp;d=HN-127-21</v>
      </c>
    </row>
    <row r="505" ht="15.75" spans="1:54">
      <c r="A505" s="2" t="s">
        <v>1648</v>
      </c>
      <c r="B505" s="3" t="s">
        <v>63</v>
      </c>
      <c r="C505" s="2" t="s">
        <v>1152</v>
      </c>
      <c r="D505" s="2">
        <v>1</v>
      </c>
      <c r="E505" s="2" t="s">
        <v>65</v>
      </c>
      <c r="F505" s="2" t="s">
        <v>66</v>
      </c>
      <c r="G505" s="2" t="s">
        <v>67</v>
      </c>
      <c r="H505" s="2" t="s">
        <v>68</v>
      </c>
      <c r="I505" s="2" t="s">
        <v>69</v>
      </c>
      <c r="J505" s="2" t="s">
        <v>70</v>
      </c>
      <c r="L505" s="2" t="s">
        <v>1649</v>
      </c>
      <c r="O505" t="s">
        <v>72</v>
      </c>
      <c r="P505" s="2">
        <v>566393801</v>
      </c>
      <c r="R505" s="2">
        <v>6900</v>
      </c>
      <c r="S505" s="4">
        <f t="shared" si="14"/>
        <v>6900</v>
      </c>
      <c r="T505" s="4">
        <v>-97</v>
      </c>
      <c r="U505" s="4">
        <f t="shared" si="15"/>
        <v>207</v>
      </c>
      <c r="V505" s="5">
        <v>0.666</v>
      </c>
      <c r="W505" s="6">
        <v>0.67</v>
      </c>
      <c r="AU505" s="3" t="s">
        <v>73</v>
      </c>
      <c r="AW505" s="2" t="s">
        <v>93</v>
      </c>
      <c r="AZ505" t="s">
        <v>1650</v>
      </c>
      <c r="BB505" s="7" t="str">
        <f>HYPERLINK("https://v360.in/diamondview.aspx?cid=preet&amp;d=HN-135-12","https://v360.in/diamondview.aspx?cid=preet&amp;d=HN-135-12")</f>
        <v>https://v360.in/diamondview.aspx?cid=preet&amp;d=HN-135-12</v>
      </c>
    </row>
    <row r="506" ht="15.75" spans="1:54">
      <c r="A506" s="2" t="s">
        <v>1651</v>
      </c>
      <c r="B506" s="3" t="s">
        <v>63</v>
      </c>
      <c r="C506" s="2" t="s">
        <v>1152</v>
      </c>
      <c r="D506" s="2">
        <v>1</v>
      </c>
      <c r="E506" s="2" t="s">
        <v>65</v>
      </c>
      <c r="F506" s="2" t="s">
        <v>66</v>
      </c>
      <c r="G506" s="2" t="s">
        <v>67</v>
      </c>
      <c r="H506" s="2" t="s">
        <v>68</v>
      </c>
      <c r="I506" s="2" t="s">
        <v>68</v>
      </c>
      <c r="J506" s="2" t="s">
        <v>70</v>
      </c>
      <c r="L506" s="2" t="s">
        <v>1652</v>
      </c>
      <c r="O506" t="s">
        <v>72</v>
      </c>
      <c r="P506" s="2">
        <v>567356393</v>
      </c>
      <c r="R506" s="2">
        <v>6900</v>
      </c>
      <c r="S506" s="4">
        <f t="shared" si="14"/>
        <v>6900</v>
      </c>
      <c r="T506" s="4">
        <v>-97</v>
      </c>
      <c r="U506" s="4">
        <f t="shared" si="15"/>
        <v>207</v>
      </c>
      <c r="V506" s="5">
        <v>0.672</v>
      </c>
      <c r="W506" s="6">
        <v>0.62</v>
      </c>
      <c r="AU506" s="3" t="s">
        <v>73</v>
      </c>
      <c r="AW506" s="2" t="s">
        <v>93</v>
      </c>
      <c r="AZ506" t="s">
        <v>1653</v>
      </c>
      <c r="BB506" s="7" t="str">
        <f>HYPERLINK("https://v360.in/diamondview.aspx?cid=preet&amp;d=HN-136-33","https://v360.in/diamondview.aspx?cid=preet&amp;d=HN-136-33")</f>
        <v>https://v360.in/diamondview.aspx?cid=preet&amp;d=HN-136-33</v>
      </c>
    </row>
    <row r="507" ht="15.75" spans="1:54">
      <c r="A507" s="2" t="s">
        <v>1654</v>
      </c>
      <c r="B507" s="3" t="s">
        <v>63</v>
      </c>
      <c r="C507" s="2" t="s">
        <v>1152</v>
      </c>
      <c r="D507" s="2">
        <v>1</v>
      </c>
      <c r="E507" s="2" t="s">
        <v>65</v>
      </c>
      <c r="F507" s="2" t="s">
        <v>91</v>
      </c>
      <c r="G507" s="2" t="s">
        <v>67</v>
      </c>
      <c r="H507" s="2" t="s">
        <v>68</v>
      </c>
      <c r="I507" s="2" t="s">
        <v>69</v>
      </c>
      <c r="J507" s="2" t="s">
        <v>70</v>
      </c>
      <c r="L507" s="2" t="s">
        <v>1655</v>
      </c>
      <c r="O507" t="s">
        <v>72</v>
      </c>
      <c r="P507" s="2">
        <v>553217187</v>
      </c>
      <c r="R507" s="2">
        <v>7500</v>
      </c>
      <c r="S507" s="4">
        <f t="shared" si="14"/>
        <v>7500</v>
      </c>
      <c r="T507" s="4">
        <v>-97</v>
      </c>
      <c r="U507" s="4">
        <f t="shared" si="15"/>
        <v>225</v>
      </c>
      <c r="V507" s="5">
        <v>0.642</v>
      </c>
      <c r="W507" s="5">
        <v>0.695</v>
      </c>
      <c r="AU507" s="3" t="s">
        <v>73</v>
      </c>
      <c r="AW507" s="2" t="s">
        <v>74</v>
      </c>
      <c r="AZ507" t="s">
        <v>1656</v>
      </c>
      <c r="BB507" s="7" t="str">
        <f>HYPERLINK("https://v360.in/diamondview.aspx?cid=preet&amp;d=HN-128-37-B","https://v360.in/diamondview.aspx?cid=preet&amp;d=HN-128-37-B")</f>
        <v>https://v360.in/diamondview.aspx?cid=preet&amp;d=HN-128-37-B</v>
      </c>
    </row>
    <row r="508" ht="15.75" spans="1:54">
      <c r="A508" s="2" t="s">
        <v>1657</v>
      </c>
      <c r="B508" s="3" t="s">
        <v>63</v>
      </c>
      <c r="C508" s="2" t="s">
        <v>1152</v>
      </c>
      <c r="D508" s="2">
        <v>1</v>
      </c>
      <c r="E508" s="2" t="s">
        <v>65</v>
      </c>
      <c r="F508" s="2" t="s">
        <v>91</v>
      </c>
      <c r="G508" s="2" t="s">
        <v>67</v>
      </c>
      <c r="H508" s="2" t="s">
        <v>68</v>
      </c>
      <c r="I508" s="2" t="s">
        <v>69</v>
      </c>
      <c r="J508" s="2" t="s">
        <v>70</v>
      </c>
      <c r="L508" s="2" t="s">
        <v>1658</v>
      </c>
      <c r="O508" t="s">
        <v>72</v>
      </c>
      <c r="P508" s="2">
        <v>550231412</v>
      </c>
      <c r="R508" s="2">
        <v>7500</v>
      </c>
      <c r="S508" s="4">
        <f t="shared" si="14"/>
        <v>7500</v>
      </c>
      <c r="T508" s="4">
        <v>-97</v>
      </c>
      <c r="U508" s="4">
        <f t="shared" si="15"/>
        <v>225</v>
      </c>
      <c r="V508" s="2">
        <v>67.1</v>
      </c>
      <c r="W508" s="2">
        <v>72</v>
      </c>
      <c r="AU508" s="3" t="s">
        <v>73</v>
      </c>
      <c r="AW508" s="2" t="s">
        <v>74</v>
      </c>
      <c r="AZ508" t="s">
        <v>1659</v>
      </c>
      <c r="BB508" s="7" t="str">
        <f>HYPERLINK("https://v360.in/diamondview.aspx?cid=preet&amp;d=HN-97-55","https://v360.in/diamondview.aspx?cid=preet&amp;d=HN-97-55")</f>
        <v>https://v360.in/diamondview.aspx?cid=preet&amp;d=HN-97-55</v>
      </c>
    </row>
    <row r="509" ht="15.75" spans="1:54">
      <c r="A509" s="2" t="s">
        <v>1660</v>
      </c>
      <c r="B509" s="3" t="s">
        <v>63</v>
      </c>
      <c r="C509" s="2" t="s">
        <v>1152</v>
      </c>
      <c r="D509" s="2">
        <v>1</v>
      </c>
      <c r="E509" s="2" t="s">
        <v>65</v>
      </c>
      <c r="F509" s="2" t="s">
        <v>91</v>
      </c>
      <c r="G509" s="2" t="s">
        <v>67</v>
      </c>
      <c r="H509" s="2" t="s">
        <v>68</v>
      </c>
      <c r="I509" s="2" t="s">
        <v>68</v>
      </c>
      <c r="J509" s="2" t="s">
        <v>70</v>
      </c>
      <c r="L509" s="2" t="s">
        <v>1661</v>
      </c>
      <c r="O509" t="s">
        <v>72</v>
      </c>
      <c r="P509" s="2">
        <v>567356398</v>
      </c>
      <c r="R509" s="2">
        <v>7500</v>
      </c>
      <c r="S509" s="4">
        <f t="shared" si="14"/>
        <v>7500</v>
      </c>
      <c r="T509" s="4">
        <v>-97</v>
      </c>
      <c r="U509" s="4">
        <f t="shared" si="15"/>
        <v>225</v>
      </c>
      <c r="V509" s="6">
        <v>0.63</v>
      </c>
      <c r="W509" s="5">
        <v>0.665</v>
      </c>
      <c r="AU509" s="3" t="s">
        <v>73</v>
      </c>
      <c r="AW509" s="2" t="s">
        <v>93</v>
      </c>
      <c r="AZ509" t="s">
        <v>1662</v>
      </c>
      <c r="BB509" s="7" t="str">
        <f>HYPERLINK("https://v360.in/diamondview.aspx?cid=preet&amp;d=HN-136-34","https://v360.in/diamondview.aspx?cid=preet&amp;d=HN-136-34")</f>
        <v>https://v360.in/diamondview.aspx?cid=preet&amp;d=HN-136-34</v>
      </c>
    </row>
    <row r="510" ht="15.75" spans="1:54">
      <c r="A510" s="2" t="s">
        <v>1663</v>
      </c>
      <c r="B510" s="3" t="s">
        <v>63</v>
      </c>
      <c r="C510" s="2" t="s">
        <v>1152</v>
      </c>
      <c r="D510" s="2">
        <v>1</v>
      </c>
      <c r="E510" s="2" t="s">
        <v>65</v>
      </c>
      <c r="F510" s="2" t="s">
        <v>91</v>
      </c>
      <c r="G510" s="2" t="s">
        <v>67</v>
      </c>
      <c r="H510" s="2" t="s">
        <v>68</v>
      </c>
      <c r="I510" s="2" t="s">
        <v>69</v>
      </c>
      <c r="J510" s="2" t="s">
        <v>70</v>
      </c>
      <c r="L510" s="2" t="s">
        <v>1664</v>
      </c>
      <c r="O510" t="s">
        <v>72</v>
      </c>
      <c r="P510" s="2">
        <v>569328536</v>
      </c>
      <c r="R510" s="2">
        <v>7500</v>
      </c>
      <c r="S510" s="4">
        <f t="shared" si="14"/>
        <v>7500</v>
      </c>
      <c r="T510" s="4">
        <v>-97</v>
      </c>
      <c r="U510" s="4">
        <f t="shared" si="15"/>
        <v>225</v>
      </c>
      <c r="V510" s="5">
        <v>0.655</v>
      </c>
      <c r="W510" s="5">
        <v>0.575</v>
      </c>
      <c r="AU510" s="3" t="s">
        <v>73</v>
      </c>
      <c r="AW510" s="2" t="s">
        <v>93</v>
      </c>
      <c r="AZ510" t="s">
        <v>1665</v>
      </c>
      <c r="BB510" s="7" t="str">
        <f>HYPERLINK("https://v360.in/diamondview.aspx?cid=preet&amp;d=HN-137-2","https://v360.in/diamondview.aspx?cid=preet&amp;d=HN-137-2")</f>
        <v>https://v360.in/diamondview.aspx?cid=preet&amp;d=HN-137-2</v>
      </c>
    </row>
    <row r="511" ht="15.75" spans="1:54">
      <c r="A511" s="2" t="s">
        <v>1666</v>
      </c>
      <c r="B511" s="3" t="s">
        <v>63</v>
      </c>
      <c r="C511" s="2" t="s">
        <v>1152</v>
      </c>
      <c r="D511" s="2">
        <v>1</v>
      </c>
      <c r="E511" s="2" t="s">
        <v>65</v>
      </c>
      <c r="F511" s="2" t="s">
        <v>91</v>
      </c>
      <c r="G511" s="2" t="s">
        <v>67</v>
      </c>
      <c r="H511" s="2" t="s">
        <v>68</v>
      </c>
      <c r="I511" s="2" t="s">
        <v>68</v>
      </c>
      <c r="J511" s="2" t="s">
        <v>70</v>
      </c>
      <c r="L511" s="2" t="s">
        <v>1667</v>
      </c>
      <c r="O511" t="s">
        <v>72</v>
      </c>
      <c r="P511" s="2">
        <v>569328537</v>
      </c>
      <c r="R511" s="2">
        <v>7500</v>
      </c>
      <c r="S511" s="4">
        <f t="shared" si="14"/>
        <v>7500</v>
      </c>
      <c r="T511" s="4">
        <v>-97</v>
      </c>
      <c r="U511" s="4">
        <f t="shared" si="15"/>
        <v>225</v>
      </c>
      <c r="V511" s="5">
        <v>0.623</v>
      </c>
      <c r="W511" s="5">
        <v>0.625</v>
      </c>
      <c r="AU511" s="3" t="s">
        <v>73</v>
      </c>
      <c r="AW511" s="2" t="s">
        <v>93</v>
      </c>
      <c r="AZ511" t="s">
        <v>1668</v>
      </c>
      <c r="BB511" s="7" t="str">
        <f>HYPERLINK("https://v360.in/diamondview.aspx?cid=preet&amp;d=HN-137-3","https://v360.in/diamondview.aspx?cid=preet&amp;d=HN-137-3")</f>
        <v>https://v360.in/diamondview.aspx?cid=preet&amp;d=HN-137-3</v>
      </c>
    </row>
    <row r="512" ht="15.75" spans="1:54">
      <c r="A512" s="2" t="s">
        <v>1669</v>
      </c>
      <c r="B512" s="3" t="s">
        <v>63</v>
      </c>
      <c r="C512" s="2" t="s">
        <v>1152</v>
      </c>
      <c r="D512" s="2">
        <v>1</v>
      </c>
      <c r="E512" s="2" t="s">
        <v>65</v>
      </c>
      <c r="F512" s="2" t="s">
        <v>91</v>
      </c>
      <c r="G512" s="2" t="s">
        <v>67</v>
      </c>
      <c r="H512" s="2" t="s">
        <v>68</v>
      </c>
      <c r="I512" s="2" t="s">
        <v>68</v>
      </c>
      <c r="J512" s="2" t="s">
        <v>70</v>
      </c>
      <c r="L512" s="2" t="s">
        <v>1670</v>
      </c>
      <c r="O512" t="s">
        <v>72</v>
      </c>
      <c r="P512" s="2">
        <v>569328539</v>
      </c>
      <c r="R512" s="2">
        <v>7500</v>
      </c>
      <c r="S512" s="4">
        <f t="shared" si="14"/>
        <v>7500</v>
      </c>
      <c r="T512" s="4">
        <v>-97</v>
      </c>
      <c r="U512" s="4">
        <f t="shared" si="15"/>
        <v>225</v>
      </c>
      <c r="V512" s="5">
        <v>0.609</v>
      </c>
      <c r="W512" s="5">
        <v>0.675</v>
      </c>
      <c r="AU512" s="3" t="s">
        <v>73</v>
      </c>
      <c r="AW512" s="2" t="s">
        <v>93</v>
      </c>
      <c r="AZ512" t="s">
        <v>1671</v>
      </c>
      <c r="BB512" s="7" t="str">
        <f>HYPERLINK("https://v360.in/diamondview.aspx?cid=preet&amp;d=HN-137-5","https://v360.in/diamondview.aspx?cid=preet&amp;d=HN-137-5")</f>
        <v>https://v360.in/diamondview.aspx?cid=preet&amp;d=HN-137-5</v>
      </c>
    </row>
    <row r="513" ht="15.75" spans="1:54">
      <c r="A513" s="2" t="s">
        <v>1672</v>
      </c>
      <c r="B513" s="3" t="s">
        <v>63</v>
      </c>
      <c r="C513" s="2" t="s">
        <v>1152</v>
      </c>
      <c r="D513" s="2">
        <v>1</v>
      </c>
      <c r="E513" s="2" t="s">
        <v>65</v>
      </c>
      <c r="F513" s="2" t="s">
        <v>155</v>
      </c>
      <c r="G513" s="2" t="s">
        <v>67</v>
      </c>
      <c r="H513" s="2" t="s">
        <v>68</v>
      </c>
      <c r="I513" s="2" t="s">
        <v>69</v>
      </c>
      <c r="J513" s="2" t="s">
        <v>70</v>
      </c>
      <c r="L513" s="2" t="s">
        <v>1673</v>
      </c>
      <c r="O513" t="s">
        <v>72</v>
      </c>
      <c r="P513" s="2">
        <v>571301023</v>
      </c>
      <c r="R513" s="2">
        <v>5700</v>
      </c>
      <c r="S513" s="4">
        <f t="shared" si="14"/>
        <v>5700</v>
      </c>
      <c r="T513" s="4">
        <v>-97</v>
      </c>
      <c r="U513" s="4">
        <f t="shared" si="15"/>
        <v>171</v>
      </c>
      <c r="V513" s="5">
        <v>0.659</v>
      </c>
      <c r="W513" s="5">
        <v>0.595</v>
      </c>
      <c r="AU513" s="3" t="s">
        <v>73</v>
      </c>
      <c r="AW513" s="2" t="s">
        <v>93</v>
      </c>
      <c r="AZ513" t="s">
        <v>1674</v>
      </c>
      <c r="BB513" s="7" t="s">
        <v>1675</v>
      </c>
    </row>
    <row r="514" ht="15.75" spans="1:54">
      <c r="A514" s="2" t="s">
        <v>1676</v>
      </c>
      <c r="B514" s="3" t="s">
        <v>63</v>
      </c>
      <c r="C514" s="2" t="s">
        <v>1152</v>
      </c>
      <c r="D514" s="2">
        <v>1</v>
      </c>
      <c r="E514" s="2" t="s">
        <v>63</v>
      </c>
      <c r="F514" s="2" t="s">
        <v>143</v>
      </c>
      <c r="G514" s="2" t="s">
        <v>67</v>
      </c>
      <c r="H514" s="2" t="s">
        <v>68</v>
      </c>
      <c r="I514" s="2" t="s">
        <v>68</v>
      </c>
      <c r="J514" s="2" t="s">
        <v>70</v>
      </c>
      <c r="L514" s="2" t="s">
        <v>1677</v>
      </c>
      <c r="O514" t="s">
        <v>72</v>
      </c>
      <c r="P514" s="2">
        <v>544276935</v>
      </c>
      <c r="R514" s="2">
        <v>7300</v>
      </c>
      <c r="S514" s="4">
        <f t="shared" si="14"/>
        <v>7300</v>
      </c>
      <c r="T514" s="4">
        <v>-97</v>
      </c>
      <c r="U514" s="4">
        <f t="shared" si="15"/>
        <v>219</v>
      </c>
      <c r="V514" s="5">
        <v>0.702</v>
      </c>
      <c r="W514" s="5">
        <v>0.685</v>
      </c>
      <c r="AU514" s="3" t="s">
        <v>73</v>
      </c>
      <c r="AW514" s="2" t="s">
        <v>74</v>
      </c>
      <c r="AZ514" t="s">
        <v>1678</v>
      </c>
      <c r="BB514" s="7" t="str">
        <f>HYPERLINK("https://v360.in/diamondview.aspx?cid=meet&amp;d=HN-85-135","https://v360.in/diamondview.aspx?cid=meet&amp;d=HN-85-135")</f>
        <v>https://v360.in/diamondview.aspx?cid=meet&amp;d=HN-85-135</v>
      </c>
    </row>
    <row r="515" ht="15.75" spans="1:54">
      <c r="A515" s="2" t="s">
        <v>1679</v>
      </c>
      <c r="B515" s="3" t="s">
        <v>63</v>
      </c>
      <c r="C515" s="2" t="s">
        <v>1152</v>
      </c>
      <c r="D515" s="2">
        <v>1</v>
      </c>
      <c r="E515" s="2" t="s">
        <v>63</v>
      </c>
      <c r="F515" s="2" t="s">
        <v>91</v>
      </c>
      <c r="G515" s="2" t="s">
        <v>67</v>
      </c>
      <c r="H515" s="2" t="s">
        <v>68</v>
      </c>
      <c r="I515" s="2" t="s">
        <v>68</v>
      </c>
      <c r="J515" s="2" t="s">
        <v>70</v>
      </c>
      <c r="L515" s="2" t="s">
        <v>1680</v>
      </c>
      <c r="O515" t="s">
        <v>72</v>
      </c>
      <c r="P515" s="2">
        <v>483113114</v>
      </c>
      <c r="R515" s="2">
        <v>7000</v>
      </c>
      <c r="S515" s="4">
        <f t="shared" ref="S515:S551" si="16">R515*D515</f>
        <v>7000</v>
      </c>
      <c r="T515" s="4">
        <v>-97</v>
      </c>
      <c r="U515" s="4">
        <f t="shared" ref="U515:U551" si="17">(R515+(R515*T515)/100)*D515</f>
        <v>210</v>
      </c>
      <c r="V515" s="5">
        <v>0.655</v>
      </c>
      <c r="W515" s="6">
        <v>0.6</v>
      </c>
      <c r="AU515" s="3" t="s">
        <v>73</v>
      </c>
      <c r="AW515" s="2" t="s">
        <v>74</v>
      </c>
      <c r="AZ515" t="s">
        <v>1681</v>
      </c>
      <c r="BB515" s="7" t="str">
        <f>HYPERLINK("http://view.gem360.in/gem360/2008210819-HN-47/gem360-2008210819-HN-47.html","http://view.gem360.in/gem360/2008210819-HN-47/gem360-2008210819-HN-47.html")</f>
        <v>http://view.gem360.in/gem360/2008210819-HN-47/gem360-2008210819-HN-47.html</v>
      </c>
    </row>
    <row r="516" ht="15.75" spans="1:54">
      <c r="A516" s="2" t="s">
        <v>1682</v>
      </c>
      <c r="B516" s="3" t="s">
        <v>63</v>
      </c>
      <c r="C516" s="2" t="s">
        <v>1152</v>
      </c>
      <c r="D516" s="2">
        <v>1</v>
      </c>
      <c r="E516" s="2" t="s">
        <v>63</v>
      </c>
      <c r="F516" s="2" t="s">
        <v>314</v>
      </c>
      <c r="G516" s="2" t="s">
        <v>67</v>
      </c>
      <c r="H516" s="2" t="s">
        <v>68</v>
      </c>
      <c r="I516" s="2" t="s">
        <v>69</v>
      </c>
      <c r="J516" s="2" t="s">
        <v>70</v>
      </c>
      <c r="L516" s="2" t="s">
        <v>1683</v>
      </c>
      <c r="O516" t="s">
        <v>72</v>
      </c>
      <c r="P516" s="2">
        <v>567356445</v>
      </c>
      <c r="R516" s="2">
        <v>4700</v>
      </c>
      <c r="S516" s="4">
        <f t="shared" si="16"/>
        <v>4700</v>
      </c>
      <c r="T516" s="4">
        <v>-97</v>
      </c>
      <c r="U516" s="4">
        <f t="shared" si="17"/>
        <v>141</v>
      </c>
      <c r="V516" s="5">
        <v>0.626</v>
      </c>
      <c r="W516" s="6">
        <v>0.6</v>
      </c>
      <c r="AU516" s="3" t="s">
        <v>73</v>
      </c>
      <c r="AW516" s="2" t="s">
        <v>93</v>
      </c>
      <c r="AZ516" t="s">
        <v>1684</v>
      </c>
      <c r="BB516" s="7" t="str">
        <f>HYPERLINK("https://v360.in/diamondview.aspx?cid=preet&amp;d=HN-136-36","https://v360.in/diamondview.aspx?cid=preet&amp;d=HN-136-36")</f>
        <v>https://v360.in/diamondview.aspx?cid=preet&amp;d=HN-136-36</v>
      </c>
    </row>
    <row r="517" ht="15.75" spans="1:54">
      <c r="A517" s="2" t="s">
        <v>1685</v>
      </c>
      <c r="B517" s="3" t="s">
        <v>63</v>
      </c>
      <c r="C517" s="2" t="s">
        <v>1152</v>
      </c>
      <c r="D517" s="2">
        <v>1</v>
      </c>
      <c r="E517" s="2" t="s">
        <v>81</v>
      </c>
      <c r="F517" s="2" t="s">
        <v>66</v>
      </c>
      <c r="G517" s="2" t="s">
        <v>67</v>
      </c>
      <c r="H517" s="2" t="s">
        <v>68</v>
      </c>
      <c r="I517" s="2" t="s">
        <v>96</v>
      </c>
      <c r="J517" s="2" t="s">
        <v>70</v>
      </c>
      <c r="L517" s="2" t="s">
        <v>1686</v>
      </c>
      <c r="O517" t="s">
        <v>72</v>
      </c>
      <c r="P517" s="2">
        <v>547265230</v>
      </c>
      <c r="R517" s="2">
        <v>5700</v>
      </c>
      <c r="S517" s="4">
        <f t="shared" si="16"/>
        <v>5700</v>
      </c>
      <c r="T517" s="4">
        <v>-97</v>
      </c>
      <c r="U517" s="4">
        <f t="shared" si="17"/>
        <v>171</v>
      </c>
      <c r="V517" s="5">
        <v>0.693</v>
      </c>
      <c r="W517" s="6">
        <v>0.69</v>
      </c>
      <c r="AU517" s="3" t="s">
        <v>73</v>
      </c>
      <c r="AW517" s="2" t="s">
        <v>74</v>
      </c>
      <c r="AZ517" t="s">
        <v>1687</v>
      </c>
      <c r="BB517" s="7" t="str">
        <f>HYPERLINK("","")</f>
        <v/>
      </c>
    </row>
    <row r="518" ht="15.75" spans="1:54">
      <c r="A518" s="2" t="s">
        <v>1688</v>
      </c>
      <c r="B518" s="3" t="s">
        <v>63</v>
      </c>
      <c r="C518" s="2" t="s">
        <v>1152</v>
      </c>
      <c r="D518" s="2">
        <v>1</v>
      </c>
      <c r="E518" s="2" t="s">
        <v>81</v>
      </c>
      <c r="F518" s="2" t="s">
        <v>91</v>
      </c>
      <c r="G518" s="2" t="s">
        <v>67</v>
      </c>
      <c r="H518" s="2" t="s">
        <v>68</v>
      </c>
      <c r="I518" s="2" t="s">
        <v>68</v>
      </c>
      <c r="J518" s="2" t="s">
        <v>70</v>
      </c>
      <c r="L518" s="2" t="s">
        <v>1689</v>
      </c>
      <c r="O518" t="s">
        <v>72</v>
      </c>
      <c r="P518" s="2">
        <v>570370837</v>
      </c>
      <c r="R518" s="2">
        <v>6000</v>
      </c>
      <c r="S518" s="4">
        <f t="shared" si="16"/>
        <v>6000</v>
      </c>
      <c r="T518" s="4">
        <v>-97</v>
      </c>
      <c r="U518" s="4">
        <f t="shared" si="17"/>
        <v>180</v>
      </c>
      <c r="V518" s="5">
        <v>0.637</v>
      </c>
      <c r="W518" s="5">
        <v>0.725</v>
      </c>
      <c r="AU518" s="3" t="s">
        <v>73</v>
      </c>
      <c r="AW518" s="2" t="s">
        <v>93</v>
      </c>
      <c r="AZ518" t="s">
        <v>1690</v>
      </c>
      <c r="BB518" s="7" t="str">
        <f>HYPERLINK("https://v360.in/diamondview.aspx?cid=preet&amp;d=HN-147-8","https://v360.in/diamondview.aspx?cid=preet&amp;d=HN-147-8")</f>
        <v>https://v360.in/diamondview.aspx?cid=preet&amp;d=HN-147-8</v>
      </c>
    </row>
    <row r="519" ht="15.75" spans="1:54">
      <c r="A519" s="2" t="s">
        <v>1691</v>
      </c>
      <c r="B519" s="3" t="s">
        <v>63</v>
      </c>
      <c r="C519" s="2" t="s">
        <v>1152</v>
      </c>
      <c r="D519" s="2">
        <v>0.95</v>
      </c>
      <c r="E519" s="2" t="s">
        <v>63</v>
      </c>
      <c r="F519" s="2" t="s">
        <v>66</v>
      </c>
      <c r="G519" s="2" t="s">
        <v>67</v>
      </c>
      <c r="H519" s="2" t="s">
        <v>68</v>
      </c>
      <c r="I519" s="2" t="s">
        <v>68</v>
      </c>
      <c r="J519" s="2" t="s">
        <v>70</v>
      </c>
      <c r="L519" s="2" t="s">
        <v>1692</v>
      </c>
      <c r="O519" t="s">
        <v>72</v>
      </c>
      <c r="P519" s="2">
        <v>522224994</v>
      </c>
      <c r="R519" s="2">
        <v>5100</v>
      </c>
      <c r="S519" s="4">
        <f t="shared" si="16"/>
        <v>4845</v>
      </c>
      <c r="T519" s="4">
        <v>-97</v>
      </c>
      <c r="U519" s="4">
        <f t="shared" si="17"/>
        <v>145.35</v>
      </c>
      <c r="V519" s="6">
        <v>0.64</v>
      </c>
      <c r="W519" s="5">
        <v>0.645</v>
      </c>
      <c r="AU519" s="3" t="s">
        <v>73</v>
      </c>
      <c r="AW519" s="2" t="s">
        <v>74</v>
      </c>
      <c r="AZ519" t="s">
        <v>1693</v>
      </c>
      <c r="BB519" s="7" t="str">
        <f>HYPERLINK("https://view.gem360.in/gem360/0804221021-HN39-138/gem360-0804221021-HN39-138.html","https://view.gem360.in/gem360/0804221021-HN39-138/gem360-0804221021-HN39-138.html")</f>
        <v>https://view.gem360.in/gem360/0804221021-HN39-138/gem360-0804221021-HN39-138.html</v>
      </c>
    </row>
    <row r="520" ht="15.75" spans="1:54">
      <c r="A520" s="2" t="s">
        <v>1694</v>
      </c>
      <c r="B520" s="3" t="s">
        <v>63</v>
      </c>
      <c r="C520" s="2" t="s">
        <v>1152</v>
      </c>
      <c r="D520" s="2">
        <v>0.94</v>
      </c>
      <c r="E520" s="2" t="s">
        <v>63</v>
      </c>
      <c r="F520" s="2" t="s">
        <v>66</v>
      </c>
      <c r="G520" s="2" t="s">
        <v>67</v>
      </c>
      <c r="H520" s="2" t="s">
        <v>68</v>
      </c>
      <c r="I520" s="2" t="s">
        <v>68</v>
      </c>
      <c r="J520" s="2" t="s">
        <v>70</v>
      </c>
      <c r="L520" s="2" t="s">
        <v>1695</v>
      </c>
      <c r="O520" t="s">
        <v>72</v>
      </c>
      <c r="P520" s="2">
        <v>522224995</v>
      </c>
      <c r="R520" s="2">
        <v>5100</v>
      </c>
      <c r="S520" s="4">
        <f t="shared" si="16"/>
        <v>4794</v>
      </c>
      <c r="T520" s="4">
        <v>-97</v>
      </c>
      <c r="U520" s="4">
        <f t="shared" si="17"/>
        <v>143.82</v>
      </c>
      <c r="V520" s="5">
        <v>0.699</v>
      </c>
      <c r="W520" s="5">
        <v>0.585</v>
      </c>
      <c r="AU520" s="3" t="s">
        <v>73</v>
      </c>
      <c r="AW520" s="2" t="s">
        <v>74</v>
      </c>
      <c r="AZ520" t="s">
        <v>1696</v>
      </c>
      <c r="BB520" s="7" t="str">
        <f>HYPERLINK("https://view.gem360.in/gem360/0804221032-HN39-140/gem360-0804221032-HN39-140.html","https://view.gem360.in/gem360/0804221032-HN39-140/gem360-0804221032-HN39-140.html")</f>
        <v>https://view.gem360.in/gem360/0804221032-HN39-140/gem360-0804221032-HN39-140.html</v>
      </c>
    </row>
    <row r="521" ht="15.75" spans="1:54">
      <c r="A521" s="2" t="s">
        <v>1697</v>
      </c>
      <c r="B521" s="3" t="s">
        <v>63</v>
      </c>
      <c r="C521" s="2" t="s">
        <v>1152</v>
      </c>
      <c r="D521" s="2">
        <v>0.93</v>
      </c>
      <c r="E521" s="2" t="s">
        <v>65</v>
      </c>
      <c r="F521" s="2" t="s">
        <v>66</v>
      </c>
      <c r="G521" s="2" t="s">
        <v>67</v>
      </c>
      <c r="H521" s="2" t="s">
        <v>68</v>
      </c>
      <c r="I521" s="2" t="s">
        <v>69</v>
      </c>
      <c r="J521" s="2" t="s">
        <v>70</v>
      </c>
      <c r="L521" s="2" t="s">
        <v>1698</v>
      </c>
      <c r="O521" t="s">
        <v>72</v>
      </c>
      <c r="P521" s="2">
        <v>526286721</v>
      </c>
      <c r="R521" s="2">
        <v>5400</v>
      </c>
      <c r="S521" s="4">
        <f t="shared" si="16"/>
        <v>5022</v>
      </c>
      <c r="T521" s="4">
        <v>-97</v>
      </c>
      <c r="U521" s="4">
        <f t="shared" si="17"/>
        <v>150.66</v>
      </c>
      <c r="V521" s="5">
        <v>0.654</v>
      </c>
      <c r="W521" s="5">
        <v>0.655</v>
      </c>
      <c r="AU521" s="3" t="s">
        <v>73</v>
      </c>
      <c r="AW521" s="2" t="s">
        <v>74</v>
      </c>
      <c r="AZ521" t="s">
        <v>1699</v>
      </c>
      <c r="BB521" s="7" t="str">
        <f>HYPERLINK("","")</f>
        <v/>
      </c>
    </row>
    <row r="522" ht="15.75" spans="1:54">
      <c r="A522" s="2" t="s">
        <v>1700</v>
      </c>
      <c r="B522" s="3" t="s">
        <v>63</v>
      </c>
      <c r="C522" s="2" t="s">
        <v>1152</v>
      </c>
      <c r="D522" s="2">
        <v>0.93</v>
      </c>
      <c r="E522" s="2" t="s">
        <v>558</v>
      </c>
      <c r="F522" s="2" t="s">
        <v>143</v>
      </c>
      <c r="G522" s="2" t="s">
        <v>67</v>
      </c>
      <c r="H522" s="2" t="s">
        <v>68</v>
      </c>
      <c r="I522" s="2" t="s">
        <v>68</v>
      </c>
      <c r="J522" s="2" t="s">
        <v>70</v>
      </c>
      <c r="L522" s="2" t="s">
        <v>1701</v>
      </c>
      <c r="O522" t="s">
        <v>72</v>
      </c>
      <c r="P522" s="2">
        <v>547248635</v>
      </c>
      <c r="R522" s="2">
        <v>4400</v>
      </c>
      <c r="S522" s="4">
        <f t="shared" si="16"/>
        <v>4092</v>
      </c>
      <c r="T522" s="4">
        <v>-97</v>
      </c>
      <c r="U522" s="4">
        <f t="shared" si="17"/>
        <v>122.76</v>
      </c>
      <c r="V522" s="5">
        <v>0.632</v>
      </c>
      <c r="W522" s="6">
        <v>0.69</v>
      </c>
      <c r="AU522" s="3" t="s">
        <v>73</v>
      </c>
      <c r="AW522" s="2" t="s">
        <v>74</v>
      </c>
      <c r="AZ522" t="s">
        <v>1702</v>
      </c>
      <c r="BB522" s="7" t="str">
        <f>HYPERLINK("","")</f>
        <v/>
      </c>
    </row>
    <row r="523" ht="15.75" spans="1:54">
      <c r="A523" s="2" t="s">
        <v>1703</v>
      </c>
      <c r="B523" s="3" t="s">
        <v>63</v>
      </c>
      <c r="C523" s="2" t="s">
        <v>1152</v>
      </c>
      <c r="D523" s="2">
        <v>0.93</v>
      </c>
      <c r="E523" s="2" t="s">
        <v>558</v>
      </c>
      <c r="F523" s="2" t="s">
        <v>91</v>
      </c>
      <c r="G523" s="2" t="s">
        <v>67</v>
      </c>
      <c r="H523" s="2" t="s">
        <v>68</v>
      </c>
      <c r="I523" s="2" t="s">
        <v>68</v>
      </c>
      <c r="J523" s="2" t="s">
        <v>70</v>
      </c>
      <c r="L523" s="2" t="s">
        <v>1704</v>
      </c>
      <c r="O523" t="s">
        <v>72</v>
      </c>
      <c r="P523" s="2">
        <v>464109437</v>
      </c>
      <c r="R523" s="2">
        <v>4200</v>
      </c>
      <c r="S523" s="4">
        <f t="shared" si="16"/>
        <v>3906</v>
      </c>
      <c r="T523" s="4">
        <v>-97</v>
      </c>
      <c r="U523" s="4">
        <f t="shared" si="17"/>
        <v>117.18</v>
      </c>
      <c r="V523" s="5">
        <v>0.691</v>
      </c>
      <c r="W523" s="6">
        <v>0.64</v>
      </c>
      <c r="AU523" s="3" t="s">
        <v>73</v>
      </c>
      <c r="AW523" s="2" t="s">
        <v>74</v>
      </c>
      <c r="AZ523" t="s">
        <v>1705</v>
      </c>
      <c r="BB523" s="7" t="str">
        <f>HYPERLINK("http://view.gem360.in/gem360/0605210731-HN-8-33/gem360-0605210731-HN-8-33.html","http://view.gem360.in/gem360/0605210731-HN-8-33/gem360-0605210731-HN-8-33.html")</f>
        <v>http://view.gem360.in/gem360/0605210731-HN-8-33/gem360-0605210731-HN-8-33.html</v>
      </c>
    </row>
    <row r="524" ht="15.75" spans="1:54">
      <c r="A524" s="2" t="s">
        <v>1706</v>
      </c>
      <c r="B524" s="3" t="s">
        <v>63</v>
      </c>
      <c r="C524" s="2" t="s">
        <v>1152</v>
      </c>
      <c r="D524" s="2">
        <v>0.92</v>
      </c>
      <c r="E524" s="2" t="s">
        <v>65</v>
      </c>
      <c r="F524" s="2" t="s">
        <v>143</v>
      </c>
      <c r="G524" s="2" t="s">
        <v>67</v>
      </c>
      <c r="H524" s="2" t="s">
        <v>68</v>
      </c>
      <c r="I524" s="2" t="s">
        <v>68</v>
      </c>
      <c r="J524" s="2" t="s">
        <v>70</v>
      </c>
      <c r="L524" s="2" t="s">
        <v>1707</v>
      </c>
      <c r="O524" t="s">
        <v>72</v>
      </c>
      <c r="P524" s="2">
        <v>524248595</v>
      </c>
      <c r="R524" s="2">
        <v>6000</v>
      </c>
      <c r="S524" s="4">
        <f t="shared" si="16"/>
        <v>5520</v>
      </c>
      <c r="T524" s="4">
        <v>-97</v>
      </c>
      <c r="U524" s="4">
        <f t="shared" si="17"/>
        <v>165.6</v>
      </c>
      <c r="V524" s="5">
        <v>0.635</v>
      </c>
      <c r="W524" s="6">
        <v>0.63</v>
      </c>
      <c r="AU524" s="3" t="s">
        <v>73</v>
      </c>
      <c r="AW524" s="2" t="s">
        <v>74</v>
      </c>
      <c r="AZ524" t="s">
        <v>1708</v>
      </c>
      <c r="BB524" s="7" t="str">
        <f>HYPERLINK("https://view.gem360.in/gem360/1105220617-HN43-178/gem360-1105220617-HN43-178.html","https://view.gem360.in/gem360/1105220617-HN43-178/gem360-1105220617-HN43-178.html")</f>
        <v>https://view.gem360.in/gem360/1105220617-HN43-178/gem360-1105220617-HN43-178.html</v>
      </c>
    </row>
    <row r="525" ht="15.75" spans="1:54">
      <c r="A525" s="2" t="s">
        <v>1709</v>
      </c>
      <c r="B525" s="3" t="s">
        <v>63</v>
      </c>
      <c r="C525" s="2" t="s">
        <v>1152</v>
      </c>
      <c r="D525" s="2">
        <v>0.92</v>
      </c>
      <c r="E525" s="2" t="s">
        <v>65</v>
      </c>
      <c r="F525" s="2" t="s">
        <v>91</v>
      </c>
      <c r="G525" s="2" t="s">
        <v>67</v>
      </c>
      <c r="H525" s="2" t="s">
        <v>68</v>
      </c>
      <c r="I525" s="2" t="s">
        <v>68</v>
      </c>
      <c r="J525" s="2" t="s">
        <v>70</v>
      </c>
      <c r="L525" s="2" t="s">
        <v>1710</v>
      </c>
      <c r="O525" t="s">
        <v>72</v>
      </c>
      <c r="P525" s="2">
        <v>483112998</v>
      </c>
      <c r="R525" s="2">
        <v>5700</v>
      </c>
      <c r="S525" s="4">
        <f t="shared" si="16"/>
        <v>5244</v>
      </c>
      <c r="T525" s="4">
        <v>-97</v>
      </c>
      <c r="U525" s="4">
        <f t="shared" si="17"/>
        <v>157.32</v>
      </c>
      <c r="V525" s="5">
        <v>0.677</v>
      </c>
      <c r="W525" s="6">
        <v>0.68</v>
      </c>
      <c r="AU525" s="3" t="s">
        <v>73</v>
      </c>
      <c r="AW525" s="2" t="s">
        <v>74</v>
      </c>
      <c r="AZ525" t="s">
        <v>1711</v>
      </c>
      <c r="BB525" s="7" t="str">
        <f>HYPERLINK("https://view.gem360.in/gem360/0804221037-HN2-1/gem360-0804221037-HN2-1.html","https://view.gem360.in/gem360/0804221037-HN2-1/gem360-0804221037-HN2-1.html")</f>
        <v>https://view.gem360.in/gem360/0804221037-HN2-1/gem360-0804221037-HN2-1.html</v>
      </c>
    </row>
    <row r="526" ht="15.75" spans="1:54">
      <c r="A526" s="2" t="s">
        <v>1712</v>
      </c>
      <c r="B526" s="3" t="s">
        <v>63</v>
      </c>
      <c r="C526" s="2" t="s">
        <v>1152</v>
      </c>
      <c r="D526" s="2">
        <v>0.92</v>
      </c>
      <c r="E526" s="2" t="s">
        <v>63</v>
      </c>
      <c r="F526" s="2" t="s">
        <v>91</v>
      </c>
      <c r="G526" s="2" t="s">
        <v>67</v>
      </c>
      <c r="H526" s="2" t="s">
        <v>68</v>
      </c>
      <c r="I526" s="2" t="s">
        <v>68</v>
      </c>
      <c r="J526" s="2" t="s">
        <v>70</v>
      </c>
      <c r="L526" s="2" t="s">
        <v>1713</v>
      </c>
      <c r="O526" t="s">
        <v>72</v>
      </c>
      <c r="P526" s="2">
        <v>522224996</v>
      </c>
      <c r="R526" s="2">
        <v>5400</v>
      </c>
      <c r="S526" s="4">
        <f t="shared" si="16"/>
        <v>4968</v>
      </c>
      <c r="T526" s="4">
        <v>-97</v>
      </c>
      <c r="U526" s="4">
        <f t="shared" si="17"/>
        <v>149.04</v>
      </c>
      <c r="V526" s="5">
        <v>0.704</v>
      </c>
      <c r="W526" s="5">
        <v>0.725</v>
      </c>
      <c r="AU526" s="3" t="s">
        <v>73</v>
      </c>
      <c r="AW526" s="2" t="s">
        <v>74</v>
      </c>
      <c r="AZ526" t="s">
        <v>1714</v>
      </c>
      <c r="BB526" s="7" t="str">
        <f>HYPERLINK("https://view.gem360.in/gem360/0804221037-HN39-133/gem360-0804221037-HN39-133.html","https://view.gem360.in/gem360/0804221037-HN39-133/gem360-0804221037-HN39-133.html")</f>
        <v>https://view.gem360.in/gem360/0804221037-HN39-133/gem360-0804221037-HN39-133.html</v>
      </c>
    </row>
    <row r="527" ht="15.75" spans="1:54">
      <c r="A527" s="2" t="s">
        <v>1715</v>
      </c>
      <c r="B527" s="3" t="s">
        <v>63</v>
      </c>
      <c r="C527" s="2" t="s">
        <v>1152</v>
      </c>
      <c r="D527" s="2">
        <v>0.91</v>
      </c>
      <c r="E527" s="2" t="s">
        <v>63</v>
      </c>
      <c r="F527" s="2" t="s">
        <v>66</v>
      </c>
      <c r="G527" s="2" t="s">
        <v>67</v>
      </c>
      <c r="H527" s="2" t="s">
        <v>68</v>
      </c>
      <c r="I527" s="2" t="s">
        <v>69</v>
      </c>
      <c r="J527" s="2" t="s">
        <v>70</v>
      </c>
      <c r="L527" s="2" t="s">
        <v>1716</v>
      </c>
      <c r="O527" t="s">
        <v>72</v>
      </c>
      <c r="P527" s="2">
        <v>526286011</v>
      </c>
      <c r="R527" s="2">
        <v>5100</v>
      </c>
      <c r="S527" s="4">
        <f t="shared" si="16"/>
        <v>4641</v>
      </c>
      <c r="T527" s="4">
        <v>-97</v>
      </c>
      <c r="U527" s="4">
        <f t="shared" si="17"/>
        <v>139.23</v>
      </c>
      <c r="V527" s="5">
        <v>0.701</v>
      </c>
      <c r="W527" s="5">
        <v>0.685</v>
      </c>
      <c r="AU527" s="3" t="s">
        <v>73</v>
      </c>
      <c r="AW527" s="2" t="s">
        <v>74</v>
      </c>
      <c r="AZ527" t="s">
        <v>1717</v>
      </c>
      <c r="BB527" s="7" t="str">
        <f>HYPERLINK("https://view.gem360.in/gem360/2005220724-HN40-113/gem360-2005220724-HN40-113.html","https://view.gem360.in/gem360/2005220724-HN40-113/gem360-2005220724-HN40-113.html")</f>
        <v>https://view.gem360.in/gem360/2005220724-HN40-113/gem360-2005220724-HN40-113.html</v>
      </c>
    </row>
    <row r="528" ht="15.75" spans="1:54">
      <c r="A528" s="2" t="s">
        <v>1718</v>
      </c>
      <c r="B528" s="3" t="s">
        <v>63</v>
      </c>
      <c r="C528" s="2" t="s">
        <v>1152</v>
      </c>
      <c r="D528" s="2">
        <v>0.9</v>
      </c>
      <c r="E528" s="2" t="s">
        <v>119</v>
      </c>
      <c r="F528" s="2" t="s">
        <v>91</v>
      </c>
      <c r="G528" s="2" t="s">
        <v>67</v>
      </c>
      <c r="H528" s="2" t="s">
        <v>68</v>
      </c>
      <c r="I528" s="2" t="s">
        <v>69</v>
      </c>
      <c r="J528" s="2" t="s">
        <v>70</v>
      </c>
      <c r="L528" s="2" t="s">
        <v>1719</v>
      </c>
      <c r="O528" t="s">
        <v>72</v>
      </c>
      <c r="P528" s="2">
        <v>496107141</v>
      </c>
      <c r="R528" s="2">
        <v>6000</v>
      </c>
      <c r="S528" s="4">
        <f t="shared" si="16"/>
        <v>5400</v>
      </c>
      <c r="T528" s="4">
        <v>-97</v>
      </c>
      <c r="U528" s="4">
        <f t="shared" si="17"/>
        <v>162</v>
      </c>
      <c r="V528" s="5">
        <v>0.667</v>
      </c>
      <c r="W528" s="6">
        <v>0.72</v>
      </c>
      <c r="AU528" s="3" t="s">
        <v>73</v>
      </c>
      <c r="AW528" s="2" t="s">
        <v>74</v>
      </c>
      <c r="AZ528" t="s">
        <v>1720</v>
      </c>
      <c r="BB528" s="7" t="str">
        <f>HYPERLINK("","")</f>
        <v/>
      </c>
    </row>
    <row r="529" ht="15.75" spans="1:54">
      <c r="A529" s="2" t="s">
        <v>1721</v>
      </c>
      <c r="B529" s="3" t="s">
        <v>63</v>
      </c>
      <c r="C529" s="2" t="s">
        <v>1152</v>
      </c>
      <c r="D529" s="2">
        <v>0.9</v>
      </c>
      <c r="E529" s="2" t="s">
        <v>65</v>
      </c>
      <c r="F529" s="2" t="s">
        <v>143</v>
      </c>
      <c r="G529" s="2" t="s">
        <v>67</v>
      </c>
      <c r="H529" s="2" t="s">
        <v>68</v>
      </c>
      <c r="I529" s="2" t="s">
        <v>69</v>
      </c>
      <c r="J529" s="2" t="s">
        <v>70</v>
      </c>
      <c r="L529" s="2" t="s">
        <v>1722</v>
      </c>
      <c r="O529" t="s">
        <v>72</v>
      </c>
      <c r="P529" s="2">
        <v>522254621</v>
      </c>
      <c r="R529" s="2">
        <v>6000</v>
      </c>
      <c r="S529" s="4">
        <f t="shared" si="16"/>
        <v>5400</v>
      </c>
      <c r="T529" s="4">
        <v>-97</v>
      </c>
      <c r="U529" s="4">
        <f t="shared" si="17"/>
        <v>162</v>
      </c>
      <c r="V529" s="5">
        <v>0.708</v>
      </c>
      <c r="W529" s="5">
        <v>0.605</v>
      </c>
      <c r="AU529" s="3" t="s">
        <v>73</v>
      </c>
      <c r="AW529" s="2" t="s">
        <v>74</v>
      </c>
      <c r="AZ529" t="s">
        <v>1723</v>
      </c>
      <c r="BB529" s="7" t="str">
        <f>HYPERLINK("https://view.gem360.in/gem360/0905220553-HN39-127/gem360-0905220553-HN39-127.html","https://view.gem360.in/gem360/0905220553-HN39-127/gem360-0905220553-HN39-127.html")</f>
        <v>https://view.gem360.in/gem360/0905220553-HN39-127/gem360-0905220553-HN39-127.html</v>
      </c>
    </row>
    <row r="530" ht="15.75" spans="1:54">
      <c r="A530" s="2" t="s">
        <v>1724</v>
      </c>
      <c r="B530" s="3" t="s">
        <v>63</v>
      </c>
      <c r="C530" s="2" t="s">
        <v>1152</v>
      </c>
      <c r="D530" s="2">
        <v>0.9</v>
      </c>
      <c r="E530" s="2" t="s">
        <v>63</v>
      </c>
      <c r="F530" s="2" t="s">
        <v>91</v>
      </c>
      <c r="G530" s="2" t="s">
        <v>67</v>
      </c>
      <c r="H530" s="2" t="s">
        <v>68</v>
      </c>
      <c r="I530" s="2" t="s">
        <v>68</v>
      </c>
      <c r="J530" s="2" t="s">
        <v>70</v>
      </c>
      <c r="L530" s="2" t="s">
        <v>1725</v>
      </c>
      <c r="O530" t="s">
        <v>72</v>
      </c>
      <c r="P530" s="2">
        <v>497181934</v>
      </c>
      <c r="R530" s="2">
        <v>5400</v>
      </c>
      <c r="S530" s="4">
        <f t="shared" si="16"/>
        <v>4860</v>
      </c>
      <c r="T530" s="4">
        <v>-97</v>
      </c>
      <c r="U530" s="4">
        <f t="shared" si="17"/>
        <v>145.8</v>
      </c>
      <c r="V530" s="5">
        <v>0.692</v>
      </c>
      <c r="W530" s="2">
        <v>64</v>
      </c>
      <c r="AU530" s="3" t="s">
        <v>73</v>
      </c>
      <c r="AW530" s="2" t="s">
        <v>74</v>
      </c>
      <c r="AZ530" t="s">
        <v>1726</v>
      </c>
      <c r="BB530" s="7" t="str">
        <f>HYPERLINK("https://view.gem360.in/gem360/3011210436-HN100-38/gem360-3011210436-HN100-38.html","https://view.gem360.in/gem360/3011210436-HN100-38/gem360-3011210436-HN100-38.html")</f>
        <v>https://view.gem360.in/gem360/3011210436-HN100-38/gem360-3011210436-HN100-38.html</v>
      </c>
    </row>
    <row r="531" ht="15.75" spans="1:54">
      <c r="A531" s="2" t="s">
        <v>1727</v>
      </c>
      <c r="B531" s="3" t="s">
        <v>63</v>
      </c>
      <c r="C531" s="2" t="s">
        <v>1152</v>
      </c>
      <c r="D531" s="2">
        <v>0.9</v>
      </c>
      <c r="E531" s="2" t="s">
        <v>63</v>
      </c>
      <c r="F531" s="2" t="s">
        <v>91</v>
      </c>
      <c r="G531" s="2" t="s">
        <v>67</v>
      </c>
      <c r="H531" s="2" t="s">
        <v>68</v>
      </c>
      <c r="I531" s="2" t="s">
        <v>69</v>
      </c>
      <c r="J531" s="2" t="s">
        <v>70</v>
      </c>
      <c r="L531" s="2" t="s">
        <v>1728</v>
      </c>
      <c r="O531" t="s">
        <v>72</v>
      </c>
      <c r="P531" s="2">
        <v>526286010</v>
      </c>
      <c r="R531" s="2">
        <v>5400</v>
      </c>
      <c r="S531" s="4">
        <f t="shared" si="16"/>
        <v>4860</v>
      </c>
      <c r="T531" s="4">
        <v>-97</v>
      </c>
      <c r="U531" s="4">
        <f t="shared" si="17"/>
        <v>145.8</v>
      </c>
      <c r="V531" s="5">
        <v>0.616</v>
      </c>
      <c r="W531" s="2">
        <v>67</v>
      </c>
      <c r="AU531" s="3" t="s">
        <v>73</v>
      </c>
      <c r="AW531" s="2" t="s">
        <v>74</v>
      </c>
      <c r="AZ531" t="s">
        <v>1729</v>
      </c>
      <c r="BB531" s="7" t="str">
        <f>HYPERLINK("https://view.gem360.in/gem360/2005220816-HN40-111/gem360-2005220816-HN40-111.html","https://view.gem360.in/gem360/2005220816-HN40-111/gem360-2005220816-HN40-111.html")</f>
        <v>https://view.gem360.in/gem360/2005220816-HN40-111/gem360-2005220816-HN40-111.html</v>
      </c>
    </row>
    <row r="532" ht="15.75" spans="1:54">
      <c r="A532" s="2" t="s">
        <v>1730</v>
      </c>
      <c r="B532" s="3" t="s">
        <v>63</v>
      </c>
      <c r="C532" s="2" t="s">
        <v>1152</v>
      </c>
      <c r="D532" s="2">
        <v>0.9</v>
      </c>
      <c r="E532" s="2" t="s">
        <v>63</v>
      </c>
      <c r="F532" s="2" t="s">
        <v>91</v>
      </c>
      <c r="G532" s="2" t="s">
        <v>67</v>
      </c>
      <c r="H532" s="2" t="s">
        <v>69</v>
      </c>
      <c r="I532" s="2" t="s">
        <v>69</v>
      </c>
      <c r="J532" s="2" t="s">
        <v>70</v>
      </c>
      <c r="L532" s="2" t="s">
        <v>1731</v>
      </c>
      <c r="O532" t="s">
        <v>72</v>
      </c>
      <c r="P532" s="2">
        <v>524211529</v>
      </c>
      <c r="R532" s="2">
        <v>5400</v>
      </c>
      <c r="S532" s="4">
        <f t="shared" si="16"/>
        <v>4860</v>
      </c>
      <c r="T532" s="4">
        <v>-97</v>
      </c>
      <c r="U532" s="4">
        <f t="shared" si="17"/>
        <v>145.8</v>
      </c>
      <c r="V532" s="5">
        <v>0.646</v>
      </c>
      <c r="W532" s="2">
        <v>64</v>
      </c>
      <c r="AU532" s="3" t="s">
        <v>73</v>
      </c>
      <c r="AW532" s="2" t="s">
        <v>74</v>
      </c>
      <c r="AZ532" t="s">
        <v>1732</v>
      </c>
      <c r="BB532" s="7" t="str">
        <f>HYPERLINK("https://view.gem360.in/gem360/0905220548-HN43-34/gem360-0905220548-HN43-34.html","https://view.gem360.in/gem360/0905220548-HN43-34/gem360-0905220548-HN43-34.html")</f>
        <v>https://view.gem360.in/gem360/0905220548-HN43-34/gem360-0905220548-HN43-34.html</v>
      </c>
    </row>
    <row r="533" ht="15.75" spans="1:54">
      <c r="A533" s="2" t="s">
        <v>1733</v>
      </c>
      <c r="B533" s="3" t="s">
        <v>63</v>
      </c>
      <c r="C533" s="2" t="s">
        <v>1152</v>
      </c>
      <c r="D533" s="2">
        <v>0.9</v>
      </c>
      <c r="E533" s="2" t="s">
        <v>63</v>
      </c>
      <c r="F533" s="2" t="s">
        <v>155</v>
      </c>
      <c r="G533" s="2" t="s">
        <v>67</v>
      </c>
      <c r="H533" s="2" t="s">
        <v>68</v>
      </c>
      <c r="I533" s="2" t="s">
        <v>68</v>
      </c>
      <c r="J533" s="2" t="s">
        <v>70</v>
      </c>
      <c r="L533" s="2" t="s">
        <v>1734</v>
      </c>
      <c r="O533" t="s">
        <v>72</v>
      </c>
      <c r="P533" s="2">
        <v>496107007</v>
      </c>
      <c r="R533" s="2">
        <v>4400</v>
      </c>
      <c r="S533" s="4">
        <f t="shared" si="16"/>
        <v>3960</v>
      </c>
      <c r="T533" s="4">
        <v>-97</v>
      </c>
      <c r="U533" s="4">
        <f t="shared" si="17"/>
        <v>118.8</v>
      </c>
      <c r="V533" s="5">
        <v>0.628</v>
      </c>
      <c r="W533" s="5">
        <v>0.695</v>
      </c>
      <c r="AU533" s="3" t="s">
        <v>73</v>
      </c>
      <c r="AW533" s="2" t="s">
        <v>74</v>
      </c>
      <c r="AZ533" t="s">
        <v>1735</v>
      </c>
      <c r="BB533" s="7" t="str">
        <f>HYPERLINK("https://view.gem360.in/gem360/2710210636-HN-77-54/gem360-2710210636-HN-77-54.html","https://view.gem360.in/gem360/2710210636-HN-77-54/gem360-2710210636-HN-77-54.html")</f>
        <v>https://view.gem360.in/gem360/2710210636-HN-77-54/gem360-2710210636-HN-77-54.html</v>
      </c>
    </row>
    <row r="534" ht="15.75" spans="1:54">
      <c r="A534" s="2" t="s">
        <v>1736</v>
      </c>
      <c r="B534" s="3" t="s">
        <v>63</v>
      </c>
      <c r="C534" s="2" t="s">
        <v>1152</v>
      </c>
      <c r="D534" s="2">
        <v>0.9</v>
      </c>
      <c r="E534" s="2" t="s">
        <v>81</v>
      </c>
      <c r="F534" s="2" t="s">
        <v>155</v>
      </c>
      <c r="G534" s="2" t="s">
        <v>67</v>
      </c>
      <c r="H534" s="2" t="s">
        <v>68</v>
      </c>
      <c r="I534" s="2" t="s">
        <v>68</v>
      </c>
      <c r="J534" s="2" t="s">
        <v>70</v>
      </c>
      <c r="L534" s="2" t="s">
        <v>1737</v>
      </c>
      <c r="O534" t="s">
        <v>72</v>
      </c>
      <c r="P534" s="2">
        <v>524248594</v>
      </c>
      <c r="R534" s="2">
        <v>4000</v>
      </c>
      <c r="S534" s="4">
        <f t="shared" si="16"/>
        <v>3600</v>
      </c>
      <c r="T534" s="4">
        <v>-97</v>
      </c>
      <c r="U534" s="4">
        <f t="shared" si="17"/>
        <v>108</v>
      </c>
      <c r="V534" s="2">
        <v>59</v>
      </c>
      <c r="W534" s="5">
        <v>0.715</v>
      </c>
      <c r="AU534" s="3" t="s">
        <v>73</v>
      </c>
      <c r="AW534" s="2" t="s">
        <v>74</v>
      </c>
      <c r="AZ534" t="s">
        <v>1738</v>
      </c>
      <c r="BB534" s="7" t="str">
        <f>HYPERLINK("https://view.gem360.in/gem360/1105220611-HN43-173/gem360-1105220611-HN43-173.html","https://view.gem360.in/gem360/1105220611-HN43-173/gem360-1105220611-HN43-173.html")</f>
        <v>https://view.gem360.in/gem360/1105220611-HN43-173/gem360-1105220611-HN43-173.html</v>
      </c>
    </row>
    <row r="535" ht="15.75" spans="1:54">
      <c r="A535" s="2" t="s">
        <v>1739</v>
      </c>
      <c r="B535" s="3" t="s">
        <v>63</v>
      </c>
      <c r="C535" s="2" t="s">
        <v>1152</v>
      </c>
      <c r="D535" s="2">
        <v>0.89</v>
      </c>
      <c r="E535" s="2" t="s">
        <v>65</v>
      </c>
      <c r="F535" s="2" t="s">
        <v>155</v>
      </c>
      <c r="G535" s="2" t="s">
        <v>67</v>
      </c>
      <c r="H535" s="2" t="s">
        <v>68</v>
      </c>
      <c r="I535" s="2" t="s">
        <v>68</v>
      </c>
      <c r="J535" s="2" t="s">
        <v>70</v>
      </c>
      <c r="L535" s="2" t="s">
        <v>1740</v>
      </c>
      <c r="O535" t="s">
        <v>72</v>
      </c>
      <c r="P535" s="2">
        <v>524248591</v>
      </c>
      <c r="R535" s="2">
        <v>3600</v>
      </c>
      <c r="S535" s="4">
        <f t="shared" si="16"/>
        <v>3204</v>
      </c>
      <c r="T535" s="4">
        <v>-97</v>
      </c>
      <c r="U535" s="4">
        <f t="shared" si="17"/>
        <v>96.12</v>
      </c>
      <c r="V535" s="5">
        <v>0.666</v>
      </c>
      <c r="W535" s="5">
        <v>0.665</v>
      </c>
      <c r="AU535" s="3" t="s">
        <v>73</v>
      </c>
      <c r="AW535" s="2" t="s">
        <v>74</v>
      </c>
      <c r="AZ535" t="s">
        <v>1741</v>
      </c>
      <c r="BB535" s="7" t="str">
        <f>HYPERLINK("https://view.gem360.in/gem360/1105220605-HN40-118/gem360-1105220605-HN40-118.html","https://view.gem360.in/gem360/1105220605-HN40-118/gem360-1105220605-HN40-118.html")</f>
        <v>https://view.gem360.in/gem360/1105220605-HN40-118/gem360-1105220605-HN40-118.html</v>
      </c>
    </row>
    <row r="536" ht="15.75" spans="1:54">
      <c r="A536" s="2" t="s">
        <v>1742</v>
      </c>
      <c r="B536" s="3" t="s">
        <v>63</v>
      </c>
      <c r="C536" s="2" t="s">
        <v>1152</v>
      </c>
      <c r="D536" s="2">
        <v>0.88</v>
      </c>
      <c r="E536" s="2" t="s">
        <v>65</v>
      </c>
      <c r="F536" s="2" t="s">
        <v>66</v>
      </c>
      <c r="G536" s="2" t="s">
        <v>67</v>
      </c>
      <c r="H536" s="2" t="s">
        <v>68</v>
      </c>
      <c r="I536" s="2" t="s">
        <v>69</v>
      </c>
      <c r="J536" s="2" t="s">
        <v>70</v>
      </c>
      <c r="L536" s="2" t="s">
        <v>1743</v>
      </c>
      <c r="O536" t="s">
        <v>72</v>
      </c>
      <c r="P536" s="2">
        <v>537239406</v>
      </c>
      <c r="R536" s="2">
        <v>4200</v>
      </c>
      <c r="S536" s="4">
        <f t="shared" si="16"/>
        <v>3696</v>
      </c>
      <c r="T536" s="4">
        <v>-97</v>
      </c>
      <c r="U536" s="4">
        <f t="shared" si="17"/>
        <v>110.88</v>
      </c>
      <c r="V536" s="5">
        <v>0.647</v>
      </c>
      <c r="W536" s="5">
        <v>0.655</v>
      </c>
      <c r="AU536" s="3" t="s">
        <v>73</v>
      </c>
      <c r="AW536" s="2" t="s">
        <v>74</v>
      </c>
      <c r="AZ536" t="s">
        <v>1744</v>
      </c>
      <c r="BB536" s="7" t="str">
        <f>HYPERLINK("","")</f>
        <v/>
      </c>
    </row>
    <row r="537" ht="15.75" spans="1:54">
      <c r="A537" s="2" t="s">
        <v>1745</v>
      </c>
      <c r="B537" s="3" t="s">
        <v>789</v>
      </c>
      <c r="C537" s="2" t="s">
        <v>1152</v>
      </c>
      <c r="D537" s="2">
        <v>0.86</v>
      </c>
      <c r="E537" s="2" t="s">
        <v>119</v>
      </c>
      <c r="F537" s="2" t="s">
        <v>66</v>
      </c>
      <c r="G537" s="2" t="s">
        <v>67</v>
      </c>
      <c r="H537" s="2" t="s">
        <v>69</v>
      </c>
      <c r="I537" s="2" t="s">
        <v>68</v>
      </c>
      <c r="J537" s="2" t="s">
        <v>70</v>
      </c>
      <c r="L537" s="2" t="s">
        <v>1746</v>
      </c>
      <c r="O537" t="s">
        <v>72</v>
      </c>
      <c r="P537" s="2">
        <v>529266444</v>
      </c>
      <c r="R537" s="2">
        <v>4400</v>
      </c>
      <c r="S537" s="4">
        <f t="shared" si="16"/>
        <v>3784</v>
      </c>
      <c r="T537" s="4">
        <v>-97</v>
      </c>
      <c r="U537" s="4">
        <f t="shared" si="17"/>
        <v>113.52</v>
      </c>
      <c r="V537" s="5">
        <v>0.699</v>
      </c>
      <c r="W537" s="2">
        <v>64</v>
      </c>
      <c r="AU537" s="3" t="s">
        <v>73</v>
      </c>
      <c r="AW537" s="2" t="s">
        <v>74</v>
      </c>
      <c r="AZ537" t="s">
        <v>1747</v>
      </c>
      <c r="BB537" s="7" t="str">
        <f>HYPERLINK("","")</f>
        <v/>
      </c>
    </row>
    <row r="538" ht="15.75" spans="1:54">
      <c r="A538" s="2" t="s">
        <v>1748</v>
      </c>
      <c r="B538" s="3" t="s">
        <v>63</v>
      </c>
      <c r="C538" s="2" t="s">
        <v>1152</v>
      </c>
      <c r="D538" s="2">
        <v>0.85</v>
      </c>
      <c r="E538" s="2" t="s">
        <v>65</v>
      </c>
      <c r="F538" s="2" t="s">
        <v>91</v>
      </c>
      <c r="G538" s="2" t="s">
        <v>67</v>
      </c>
      <c r="H538" s="2" t="s">
        <v>68</v>
      </c>
      <c r="I538" s="2" t="s">
        <v>68</v>
      </c>
      <c r="J538" s="2" t="s">
        <v>70</v>
      </c>
      <c r="L538" s="2" t="s">
        <v>1749</v>
      </c>
      <c r="O538" t="s">
        <v>72</v>
      </c>
      <c r="P538" s="2">
        <v>547266576</v>
      </c>
      <c r="R538" s="2">
        <v>4600</v>
      </c>
      <c r="S538" s="4">
        <f t="shared" si="16"/>
        <v>3910</v>
      </c>
      <c r="T538" s="4">
        <v>-97</v>
      </c>
      <c r="U538" s="4">
        <f t="shared" si="17"/>
        <v>117.3</v>
      </c>
      <c r="V538" s="5">
        <v>0.655</v>
      </c>
      <c r="W538" s="5">
        <v>0.615</v>
      </c>
      <c r="AU538" s="3" t="s">
        <v>73</v>
      </c>
      <c r="AW538" s="2" t="s">
        <v>74</v>
      </c>
      <c r="AZ538" t="s">
        <v>1750</v>
      </c>
      <c r="BB538" s="7" t="str">
        <f>HYPERLINK("","")</f>
        <v/>
      </c>
    </row>
    <row r="539" ht="15.75" spans="1:54">
      <c r="A539" s="2" t="s">
        <v>1751</v>
      </c>
      <c r="B539" s="3" t="s">
        <v>63</v>
      </c>
      <c r="C539" s="2" t="s">
        <v>1152</v>
      </c>
      <c r="D539" s="2">
        <v>0.84</v>
      </c>
      <c r="E539" s="2" t="s">
        <v>65</v>
      </c>
      <c r="F539" s="2" t="s">
        <v>91</v>
      </c>
      <c r="G539" s="2" t="s">
        <v>67</v>
      </c>
      <c r="H539" s="2" t="s">
        <v>68</v>
      </c>
      <c r="I539" s="2" t="s">
        <v>68</v>
      </c>
      <c r="J539" s="2" t="s">
        <v>70</v>
      </c>
      <c r="L539" s="2" t="s">
        <v>1752</v>
      </c>
      <c r="O539" t="s">
        <v>72</v>
      </c>
      <c r="P539" s="2">
        <v>547248636</v>
      </c>
      <c r="R539" s="2">
        <v>4600</v>
      </c>
      <c r="S539" s="4">
        <f t="shared" si="16"/>
        <v>3864</v>
      </c>
      <c r="T539" s="4">
        <v>-97</v>
      </c>
      <c r="U539" s="4">
        <f t="shared" si="17"/>
        <v>115.92</v>
      </c>
      <c r="V539" s="5">
        <v>0.648</v>
      </c>
      <c r="W539" s="5">
        <v>0.635</v>
      </c>
      <c r="AU539" s="3" t="s">
        <v>73</v>
      </c>
      <c r="AW539" s="2" t="s">
        <v>74</v>
      </c>
      <c r="AZ539" t="s">
        <v>1753</v>
      </c>
      <c r="BB539" s="7" t="str">
        <f>HYPERLINK("https://v360.in/diamondview.aspx?cid=meet&amp;d=HN-86-74","https://v360.in/diamondview.aspx?cid=meet&amp;d=HN-86-74")</f>
        <v>https://v360.in/diamondview.aspx?cid=meet&amp;d=HN-86-74</v>
      </c>
    </row>
    <row r="540" ht="15.75" spans="1:54">
      <c r="A540" s="2" t="s">
        <v>1754</v>
      </c>
      <c r="B540" s="3" t="s">
        <v>63</v>
      </c>
      <c r="C540" s="2" t="s">
        <v>1152</v>
      </c>
      <c r="D540" s="2">
        <v>0.84</v>
      </c>
      <c r="E540" s="2" t="s">
        <v>63</v>
      </c>
      <c r="F540" s="2" t="s">
        <v>66</v>
      </c>
      <c r="G540" s="2" t="s">
        <v>67</v>
      </c>
      <c r="H540" s="2" t="s">
        <v>68</v>
      </c>
      <c r="I540" s="2" t="s">
        <v>68</v>
      </c>
      <c r="J540" s="2" t="s">
        <v>70</v>
      </c>
      <c r="L540" s="2" t="s">
        <v>1755</v>
      </c>
      <c r="O540" t="s">
        <v>72</v>
      </c>
      <c r="P540" s="2">
        <v>547265173</v>
      </c>
      <c r="R540" s="2">
        <v>3900</v>
      </c>
      <c r="S540" s="4">
        <f t="shared" si="16"/>
        <v>3276</v>
      </c>
      <c r="T540" s="4">
        <v>-97</v>
      </c>
      <c r="U540" s="4">
        <f t="shared" si="17"/>
        <v>98.28</v>
      </c>
      <c r="V540" s="2">
        <v>67</v>
      </c>
      <c r="W540" s="2">
        <v>56</v>
      </c>
      <c r="AU540" s="3" t="s">
        <v>73</v>
      </c>
      <c r="AW540" s="2" t="s">
        <v>74</v>
      </c>
      <c r="AZ540" t="s">
        <v>1756</v>
      </c>
      <c r="BB540" s="7" t="str">
        <f>HYPERLINK("","")</f>
        <v/>
      </c>
    </row>
    <row r="541" ht="15.75" spans="1:54">
      <c r="A541" s="2" t="s">
        <v>1757</v>
      </c>
      <c r="B541" s="3" t="s">
        <v>63</v>
      </c>
      <c r="C541" s="2" t="s">
        <v>1152</v>
      </c>
      <c r="D541" s="2">
        <v>0.84</v>
      </c>
      <c r="E541" s="2" t="s">
        <v>558</v>
      </c>
      <c r="F541" s="2" t="s">
        <v>155</v>
      </c>
      <c r="G541" s="2" t="s">
        <v>67</v>
      </c>
      <c r="H541" s="2" t="s">
        <v>69</v>
      </c>
      <c r="I541" s="2" t="s">
        <v>69</v>
      </c>
      <c r="J541" s="2" t="s">
        <v>70</v>
      </c>
      <c r="L541" s="2" t="s">
        <v>1758</v>
      </c>
      <c r="O541" t="s">
        <v>72</v>
      </c>
      <c r="P541" s="2">
        <v>497182212</v>
      </c>
      <c r="R541" s="2">
        <v>2700</v>
      </c>
      <c r="S541" s="4">
        <f t="shared" si="16"/>
        <v>2268</v>
      </c>
      <c r="T541" s="4">
        <v>-97</v>
      </c>
      <c r="U541" s="4">
        <f t="shared" si="17"/>
        <v>68.04</v>
      </c>
      <c r="V541" s="5">
        <v>0.677</v>
      </c>
      <c r="W541" s="5">
        <v>0.615</v>
      </c>
      <c r="AU541" s="3" t="s">
        <v>73</v>
      </c>
      <c r="AW541" s="2" t="s">
        <v>74</v>
      </c>
      <c r="AZ541" t="s">
        <v>1759</v>
      </c>
      <c r="BB541" s="7" t="str">
        <f>HYPERLINK("","")</f>
        <v/>
      </c>
    </row>
    <row r="542" ht="15.75" spans="1:54">
      <c r="A542" s="2" t="s">
        <v>1760</v>
      </c>
      <c r="B542" s="3" t="s">
        <v>63</v>
      </c>
      <c r="C542" s="2" t="s">
        <v>1152</v>
      </c>
      <c r="D542" s="2">
        <v>0.83</v>
      </c>
      <c r="E542" s="2" t="s">
        <v>65</v>
      </c>
      <c r="F542" s="2" t="s">
        <v>155</v>
      </c>
      <c r="G542" s="2" t="s">
        <v>67</v>
      </c>
      <c r="H542" s="2" t="s">
        <v>68</v>
      </c>
      <c r="I542" s="2" t="s">
        <v>68</v>
      </c>
      <c r="J542" s="2" t="s">
        <v>70</v>
      </c>
      <c r="L542" s="2" t="s">
        <v>1761</v>
      </c>
      <c r="O542" t="s">
        <v>72</v>
      </c>
      <c r="P542" s="2">
        <v>529266448</v>
      </c>
      <c r="R542" s="2">
        <v>3600</v>
      </c>
      <c r="S542" s="4">
        <f t="shared" si="16"/>
        <v>2988</v>
      </c>
      <c r="T542" s="4">
        <v>-97</v>
      </c>
      <c r="U542" s="4">
        <f t="shared" si="17"/>
        <v>89.64</v>
      </c>
      <c r="V542" s="5">
        <v>0.611</v>
      </c>
      <c r="W542" s="2">
        <v>63</v>
      </c>
      <c r="AU542" s="3" t="s">
        <v>73</v>
      </c>
      <c r="AW542" s="2" t="s">
        <v>74</v>
      </c>
      <c r="AZ542" t="s">
        <v>1762</v>
      </c>
      <c r="BB542" s="7" t="str">
        <f>HYPERLINK("","")</f>
        <v/>
      </c>
    </row>
    <row r="543" ht="15.75" spans="1:54">
      <c r="A543" s="2" t="s">
        <v>1763</v>
      </c>
      <c r="B543" s="3" t="s">
        <v>63</v>
      </c>
      <c r="C543" s="2" t="s">
        <v>1152</v>
      </c>
      <c r="D543" s="2">
        <v>0.82</v>
      </c>
      <c r="E543" s="2" t="s">
        <v>81</v>
      </c>
      <c r="F543" s="2" t="s">
        <v>66</v>
      </c>
      <c r="G543" s="2" t="s">
        <v>67</v>
      </c>
      <c r="H543" s="2" t="s">
        <v>69</v>
      </c>
      <c r="I543" s="2" t="s">
        <v>69</v>
      </c>
      <c r="J543" s="2" t="s">
        <v>70</v>
      </c>
      <c r="L543" s="2" t="s">
        <v>1764</v>
      </c>
      <c r="O543" t="s">
        <v>72</v>
      </c>
      <c r="P543" s="2">
        <v>497182213</v>
      </c>
      <c r="R543" s="2">
        <v>3500</v>
      </c>
      <c r="S543" s="4">
        <f t="shared" si="16"/>
        <v>2870</v>
      </c>
      <c r="T543" s="4">
        <v>-97</v>
      </c>
      <c r="U543" s="4">
        <f t="shared" si="17"/>
        <v>86.1</v>
      </c>
      <c r="V543" s="5">
        <v>0.637</v>
      </c>
      <c r="W543" s="2">
        <v>74</v>
      </c>
      <c r="AU543" s="3" t="s">
        <v>73</v>
      </c>
      <c r="AW543" s="2" t="s">
        <v>74</v>
      </c>
      <c r="AZ543" t="s">
        <v>1765</v>
      </c>
      <c r="BB543" s="7" t="str">
        <f>HYPERLINK("","")</f>
        <v/>
      </c>
    </row>
    <row r="544" ht="15.75" spans="1:54">
      <c r="A544" s="2" t="s">
        <v>1766</v>
      </c>
      <c r="B544" s="3" t="s">
        <v>63</v>
      </c>
      <c r="C544" s="2" t="s">
        <v>1152</v>
      </c>
      <c r="D544" s="2">
        <v>0.8</v>
      </c>
      <c r="E544" s="2" t="s">
        <v>119</v>
      </c>
      <c r="F544" s="2" t="s">
        <v>66</v>
      </c>
      <c r="G544" s="2" t="s">
        <v>67</v>
      </c>
      <c r="H544" s="2" t="s">
        <v>68</v>
      </c>
      <c r="I544" s="2" t="s">
        <v>68</v>
      </c>
      <c r="J544" s="2" t="s">
        <v>70</v>
      </c>
      <c r="L544" s="2" t="s">
        <v>1767</v>
      </c>
      <c r="O544" t="s">
        <v>72</v>
      </c>
      <c r="P544" s="2">
        <v>547265174</v>
      </c>
      <c r="R544" s="2">
        <v>4400</v>
      </c>
      <c r="S544" s="4">
        <f t="shared" si="16"/>
        <v>3520</v>
      </c>
      <c r="T544" s="4">
        <v>-97</v>
      </c>
      <c r="U544" s="4">
        <f t="shared" si="17"/>
        <v>105.6</v>
      </c>
      <c r="V544" s="5">
        <v>0.629</v>
      </c>
      <c r="W544" s="5">
        <v>0.645</v>
      </c>
      <c r="AU544" s="3" t="s">
        <v>73</v>
      </c>
      <c r="AW544" s="2" t="s">
        <v>74</v>
      </c>
      <c r="AZ544" t="s">
        <v>1768</v>
      </c>
      <c r="BB544" s="7" t="str">
        <f>HYPERLINK("","")</f>
        <v/>
      </c>
    </row>
    <row r="545" ht="15.75" spans="1:54">
      <c r="A545" s="2" t="s">
        <v>1769</v>
      </c>
      <c r="B545" s="3" t="s">
        <v>63</v>
      </c>
      <c r="C545" s="2" t="s">
        <v>1152</v>
      </c>
      <c r="D545" s="2">
        <v>0.8</v>
      </c>
      <c r="E545" s="2" t="s">
        <v>65</v>
      </c>
      <c r="F545" s="2" t="s">
        <v>66</v>
      </c>
      <c r="G545" s="2" t="s">
        <v>67</v>
      </c>
      <c r="H545" s="2" t="s">
        <v>68</v>
      </c>
      <c r="I545" s="2" t="s">
        <v>68</v>
      </c>
      <c r="J545" s="2" t="s">
        <v>70</v>
      </c>
      <c r="L545" s="2" t="s">
        <v>1770</v>
      </c>
      <c r="O545" t="s">
        <v>72</v>
      </c>
      <c r="P545" s="2">
        <v>524248592</v>
      </c>
      <c r="R545" s="2">
        <v>4200</v>
      </c>
      <c r="S545" s="4">
        <f t="shared" si="16"/>
        <v>3360</v>
      </c>
      <c r="T545" s="4">
        <v>-97</v>
      </c>
      <c r="U545" s="4">
        <f t="shared" si="17"/>
        <v>100.8</v>
      </c>
      <c r="V545" s="5">
        <v>0.678</v>
      </c>
      <c r="W545" s="5">
        <v>0.705</v>
      </c>
      <c r="AU545" s="3" t="s">
        <v>73</v>
      </c>
      <c r="AW545" s="2" t="s">
        <v>74</v>
      </c>
      <c r="AZ545" t="s">
        <v>1771</v>
      </c>
      <c r="BB545" s="7" t="str">
        <f>HYPERLINK("https://view.gem360.in/gem360/1105220601-HN40-82/gem360-1105220601-HN40-82.html","https://view.gem360.in/gem360/1105220601-HN40-82/gem360-1105220601-HN40-82.html")</f>
        <v>https://view.gem360.in/gem360/1105220601-HN40-82/gem360-1105220601-HN40-82.html</v>
      </c>
    </row>
    <row r="546" ht="15.75" spans="1:54">
      <c r="A546" s="2" t="s">
        <v>1772</v>
      </c>
      <c r="B546" s="3" t="s">
        <v>63</v>
      </c>
      <c r="C546" s="2" t="s">
        <v>1152</v>
      </c>
      <c r="D546" s="2">
        <v>0.8</v>
      </c>
      <c r="E546" s="2" t="s">
        <v>65</v>
      </c>
      <c r="F546" s="2" t="s">
        <v>91</v>
      </c>
      <c r="G546" s="2" t="s">
        <v>67</v>
      </c>
      <c r="H546" s="2" t="s">
        <v>68</v>
      </c>
      <c r="I546" s="2" t="s">
        <v>69</v>
      </c>
      <c r="J546" s="2" t="s">
        <v>70</v>
      </c>
      <c r="L546" s="2" t="s">
        <v>1773</v>
      </c>
      <c r="O546" t="s">
        <v>72</v>
      </c>
      <c r="P546" s="2">
        <v>544276929</v>
      </c>
      <c r="R546" s="2">
        <v>4600</v>
      </c>
      <c r="S546" s="4">
        <f t="shared" si="16"/>
        <v>3680</v>
      </c>
      <c r="T546" s="4">
        <v>-97</v>
      </c>
      <c r="U546" s="4">
        <f t="shared" si="17"/>
        <v>110.4</v>
      </c>
      <c r="V546" s="5">
        <v>0.649</v>
      </c>
      <c r="W546" s="5">
        <v>0.655</v>
      </c>
      <c r="AU546" s="3" t="s">
        <v>73</v>
      </c>
      <c r="AW546" s="2" t="s">
        <v>74</v>
      </c>
      <c r="AZ546" t="s">
        <v>1774</v>
      </c>
      <c r="BB546" s="7" t="str">
        <f>HYPERLINK("https://v360.in/diamondview.aspx?cid=meet&amp;d=HN-85-74","https://v360.in/diamondview.aspx?cid=meet&amp;d=HN-85-74")</f>
        <v>https://v360.in/diamondview.aspx?cid=meet&amp;d=HN-85-74</v>
      </c>
    </row>
    <row r="547" ht="15.75" spans="1:54">
      <c r="A547" s="2" t="s">
        <v>1775</v>
      </c>
      <c r="B547" s="3" t="s">
        <v>63</v>
      </c>
      <c r="C547" s="2" t="s">
        <v>1152</v>
      </c>
      <c r="D547" s="2">
        <v>0.71</v>
      </c>
      <c r="E547" s="2" t="s">
        <v>81</v>
      </c>
      <c r="F547" s="2" t="s">
        <v>91</v>
      </c>
      <c r="G547" s="2" t="s">
        <v>67</v>
      </c>
      <c r="H547" s="2" t="s">
        <v>68</v>
      </c>
      <c r="I547" s="2" t="s">
        <v>68</v>
      </c>
      <c r="J547" s="2" t="s">
        <v>70</v>
      </c>
      <c r="L547" s="2" t="s">
        <v>1776</v>
      </c>
      <c r="O547" t="s">
        <v>72</v>
      </c>
      <c r="P547" s="2">
        <v>522253988</v>
      </c>
      <c r="R547" s="2">
        <v>3900</v>
      </c>
      <c r="S547" s="4">
        <f t="shared" si="16"/>
        <v>2769</v>
      </c>
      <c r="T547" s="4">
        <v>-97</v>
      </c>
      <c r="U547" s="4">
        <f t="shared" si="17"/>
        <v>83.07</v>
      </c>
      <c r="V547" s="5">
        <v>0.673</v>
      </c>
      <c r="W547" s="2">
        <v>70</v>
      </c>
      <c r="AU547" s="3" t="s">
        <v>73</v>
      </c>
      <c r="AW547" s="2" t="s">
        <v>74</v>
      </c>
      <c r="AZ547" t="s">
        <v>1777</v>
      </c>
      <c r="BB547" s="7" t="str">
        <f>HYPERLINK("","")</f>
        <v/>
      </c>
    </row>
    <row r="548" ht="15.75" spans="1:54">
      <c r="A548" s="2" t="s">
        <v>1778</v>
      </c>
      <c r="B548" s="3" t="s">
        <v>63</v>
      </c>
      <c r="C548" s="2" t="s">
        <v>1779</v>
      </c>
      <c r="D548" s="2">
        <v>1.01</v>
      </c>
      <c r="E548" s="2" t="s">
        <v>63</v>
      </c>
      <c r="F548" s="2" t="s">
        <v>66</v>
      </c>
      <c r="G548" s="2" t="s">
        <v>67</v>
      </c>
      <c r="H548" s="2" t="s">
        <v>68</v>
      </c>
      <c r="I548" s="2" t="s">
        <v>68</v>
      </c>
      <c r="J548" s="2" t="s">
        <v>70</v>
      </c>
      <c r="L548" s="2" t="s">
        <v>1780</v>
      </c>
      <c r="O548" t="s">
        <v>72</v>
      </c>
      <c r="P548" s="2">
        <v>488147309</v>
      </c>
      <c r="R548" s="2">
        <v>6600</v>
      </c>
      <c r="S548" s="4">
        <f t="shared" si="16"/>
        <v>6666</v>
      </c>
      <c r="T548" s="4">
        <v>-97</v>
      </c>
      <c r="U548" s="4">
        <f t="shared" si="17"/>
        <v>199.98</v>
      </c>
      <c r="V548" s="5">
        <v>0.723</v>
      </c>
      <c r="W548" s="5">
        <v>0.725</v>
      </c>
      <c r="AU548" s="3" t="s">
        <v>73</v>
      </c>
      <c r="AW548" s="2" t="s">
        <v>74</v>
      </c>
      <c r="AZ548" t="s">
        <v>1781</v>
      </c>
      <c r="BB548" s="7" t="str">
        <f>HYPERLINK("https://view.gem360.in/gem360/2909211021-HN-1R/gem360-2909211021-HN-1R.html","https://view.gem360.in/gem360/2909211021-HN-1R/gem360-2909211021-HN-1R.html")</f>
        <v>https://view.gem360.in/gem360/2909211021-HN-1R/gem360-2909211021-HN-1R.html</v>
      </c>
    </row>
    <row r="549" ht="15.75" spans="1:54">
      <c r="A549" s="2" t="s">
        <v>1782</v>
      </c>
      <c r="B549" s="3" t="s">
        <v>63</v>
      </c>
      <c r="C549" s="2" t="s">
        <v>1779</v>
      </c>
      <c r="D549" s="2">
        <v>1</v>
      </c>
      <c r="E549" s="2" t="s">
        <v>63</v>
      </c>
      <c r="F549" s="2" t="s">
        <v>155</v>
      </c>
      <c r="G549" s="2" t="s">
        <v>67</v>
      </c>
      <c r="H549" s="2" t="s">
        <v>68</v>
      </c>
      <c r="I549" s="2" t="s">
        <v>68</v>
      </c>
      <c r="J549" s="2" t="s">
        <v>70</v>
      </c>
      <c r="L549" s="2" t="s">
        <v>1783</v>
      </c>
      <c r="O549" t="s">
        <v>72</v>
      </c>
      <c r="P549" s="2">
        <v>464180803</v>
      </c>
      <c r="R549" s="2">
        <v>5400</v>
      </c>
      <c r="S549" s="4">
        <f t="shared" si="16"/>
        <v>5400</v>
      </c>
      <c r="T549" s="4">
        <v>-97</v>
      </c>
      <c r="U549" s="4">
        <f t="shared" si="17"/>
        <v>162</v>
      </c>
      <c r="V549" s="5">
        <v>0.708</v>
      </c>
      <c r="W549" s="5">
        <v>0.735</v>
      </c>
      <c r="AU549" s="3" t="s">
        <v>73</v>
      </c>
      <c r="AW549" s="2" t="s">
        <v>74</v>
      </c>
      <c r="AZ549" t="s">
        <v>1784</v>
      </c>
      <c r="BB549" s="7" t="str">
        <f>HYPERLINK("http://view.gem360.in/gem360/0605210621-HN-33-2/gem360-0605210621-HN-33-2.html","http://view.gem360.in/gem360/0605210621-HN-33-2/gem360-0605210621-HN-33-2.html")</f>
        <v>http://view.gem360.in/gem360/0605210621-HN-33-2/gem360-0605210621-HN-33-2.html</v>
      </c>
    </row>
    <row r="550" ht="15.75" spans="1:54">
      <c r="A550" s="2" t="s">
        <v>1785</v>
      </c>
      <c r="B550" s="3" t="s">
        <v>63</v>
      </c>
      <c r="C550" s="2" t="s">
        <v>1786</v>
      </c>
      <c r="D550" s="2">
        <v>2</v>
      </c>
      <c r="E550" s="2" t="s">
        <v>81</v>
      </c>
      <c r="F550" s="2" t="s">
        <v>314</v>
      </c>
      <c r="G550" s="2" t="s">
        <v>67</v>
      </c>
      <c r="H550" s="2" t="s">
        <v>69</v>
      </c>
      <c r="I550" s="2" t="s">
        <v>69</v>
      </c>
      <c r="J550" s="2" t="s">
        <v>70</v>
      </c>
      <c r="L550" s="2" t="s">
        <v>1787</v>
      </c>
      <c r="O550" t="s">
        <v>72</v>
      </c>
      <c r="P550" s="2">
        <v>464109428</v>
      </c>
      <c r="R550" s="2">
        <v>9600</v>
      </c>
      <c r="S550" s="4">
        <f t="shared" si="16"/>
        <v>19200</v>
      </c>
      <c r="T550" s="4">
        <v>-97</v>
      </c>
      <c r="U550" s="4">
        <f t="shared" si="17"/>
        <v>576</v>
      </c>
      <c r="V550" s="5">
        <v>0.679</v>
      </c>
      <c r="W550" s="5">
        <v>0.645</v>
      </c>
      <c r="AU550" s="3" t="s">
        <v>73</v>
      </c>
      <c r="AW550" s="2" t="s">
        <v>74</v>
      </c>
      <c r="AZ550" t="s">
        <v>1788</v>
      </c>
      <c r="BB550" s="7" t="str">
        <f>HYPERLINK("http://view.gem360.in/gem360/0605210602-HN-33-25/gem360-0605210602-HN-33-25.html","http://view.gem360.in/gem360/0605210602-HN-33-25/gem360-0605210602-HN-33-25.html")</f>
        <v>http://view.gem360.in/gem360/0605210602-HN-33-25/gem360-0605210602-HN-33-25.html</v>
      </c>
    </row>
    <row r="551" ht="16.5" spans="1:54">
      <c r="A551" s="8" t="s">
        <v>1789</v>
      </c>
      <c r="B551" s="3" t="s">
        <v>63</v>
      </c>
      <c r="C551" s="8" t="s">
        <v>1786</v>
      </c>
      <c r="D551" s="8">
        <v>1.22</v>
      </c>
      <c r="E551" s="8" t="s">
        <v>81</v>
      </c>
      <c r="F551" s="8" t="s">
        <v>91</v>
      </c>
      <c r="G551" s="8" t="s">
        <v>67</v>
      </c>
      <c r="H551" s="8" t="s">
        <v>68</v>
      </c>
      <c r="I551" s="8" t="s">
        <v>68</v>
      </c>
      <c r="J551" s="8" t="s">
        <v>70</v>
      </c>
      <c r="L551" s="8" t="s">
        <v>1790</v>
      </c>
      <c r="O551" t="s">
        <v>72</v>
      </c>
      <c r="P551" s="8">
        <v>464180802</v>
      </c>
      <c r="R551" s="8">
        <v>6000</v>
      </c>
      <c r="S551" s="4">
        <f t="shared" si="16"/>
        <v>7320</v>
      </c>
      <c r="T551" s="4">
        <v>-97</v>
      </c>
      <c r="U551" s="4">
        <f t="shared" si="17"/>
        <v>219.6</v>
      </c>
      <c r="V551" s="9">
        <v>0.619</v>
      </c>
      <c r="W551" s="9">
        <v>0.595</v>
      </c>
      <c r="AU551" s="3" t="s">
        <v>73</v>
      </c>
      <c r="AW551" s="8" t="s">
        <v>74</v>
      </c>
      <c r="AZ551" t="s">
        <v>1791</v>
      </c>
      <c r="BB551" s="10" t="str">
        <f>HYPERLINK("http://view.gem360.in/gem360/0605210612-HN-33-2/gem360-0605210612-HN-33-2.html","http://view.gem360.in/gem360/0605210612-HN-33-2/gem360-0605210612-HN-33-2.html")</f>
        <v>http://view.gem360.in/gem360/0605210612-HN-33-2/gem360-0605210612-HN-33-2.html</v>
      </c>
    </row>
  </sheetData>
  <conditionalFormatting sqref="A2:A55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INSTANCE-31</dc:creator>
  <cp:lastModifiedBy>windows11</cp:lastModifiedBy>
  <dcterms:created xsi:type="dcterms:W3CDTF">2023-03-17T12:51:00Z</dcterms:created>
  <dcterms:modified xsi:type="dcterms:W3CDTF">2023-03-29T10:04:35Z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CC6EEAAA27824ACFAA7AC07D13D0B65B</vt:lpwstr>
  </property>
  <property fmtid="{D5CDD505-2E9C-101B-9397-08002B2CF9AE}" pid="3" name="KSOProductBuildVer">
    <vt:lpwstr>1033-11.2.0.11513</vt:lpwstr>
  </property>
</Properties>
</file>