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810"/>
  <workbookPr/>
  <mc:AlternateContent xmlns:mc="http://schemas.openxmlformats.org/markup-compatibility/2006">
    <mc:Choice Requires="x15">
      <x15ac:absPath xmlns:x15ac="http://schemas.microsoft.com/office/spreadsheetml/2010/11/ac" url="/Users/macbookpro/Desktop/"/>
    </mc:Choice>
  </mc:AlternateContent>
  <bookViews>
    <workbookView xWindow="0" yWindow="500" windowWidth="25600" windowHeight="1406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B475" i="1" l="1"/>
  <c r="BB474" i="1"/>
  <c r="BB473" i="1"/>
  <c r="BB472" i="1"/>
  <c r="BB471" i="1"/>
  <c r="BB470" i="1"/>
  <c r="BB469" i="1"/>
  <c r="BB468" i="1"/>
  <c r="BB467" i="1"/>
  <c r="BB466" i="1"/>
  <c r="BB465" i="1"/>
  <c r="BB464" i="1"/>
  <c r="BB463" i="1"/>
  <c r="BB462" i="1"/>
  <c r="BB461" i="1"/>
  <c r="BB460" i="1"/>
  <c r="BB459" i="1"/>
  <c r="BB458" i="1"/>
  <c r="BB457" i="1"/>
  <c r="BB456" i="1"/>
  <c r="BB455" i="1"/>
  <c r="BB454" i="1"/>
  <c r="BB453" i="1"/>
  <c r="BB452" i="1"/>
  <c r="BB451" i="1"/>
  <c r="BB450" i="1"/>
  <c r="BB449" i="1"/>
  <c r="BB448" i="1"/>
  <c r="BB447" i="1"/>
  <c r="BB446" i="1"/>
  <c r="BB445" i="1"/>
  <c r="BB444" i="1"/>
  <c r="BB443" i="1"/>
  <c r="BB442" i="1"/>
  <c r="BB441" i="1"/>
  <c r="BB440" i="1"/>
  <c r="BB439" i="1"/>
  <c r="BB438" i="1"/>
  <c r="BB437" i="1"/>
  <c r="BB436" i="1"/>
  <c r="BB435" i="1"/>
  <c r="BB434" i="1"/>
  <c r="BB433" i="1"/>
  <c r="BB432" i="1"/>
  <c r="BB431" i="1"/>
  <c r="BB430" i="1"/>
  <c r="BB429" i="1"/>
  <c r="BB428" i="1"/>
  <c r="BB427" i="1"/>
  <c r="BB426" i="1"/>
  <c r="BB425" i="1"/>
  <c r="BB424" i="1"/>
  <c r="BB423" i="1"/>
  <c r="BB422" i="1"/>
  <c r="BB421" i="1"/>
  <c r="BB420" i="1"/>
  <c r="BB419" i="1"/>
  <c r="BB418" i="1"/>
  <c r="BB417" i="1"/>
  <c r="BB416" i="1"/>
  <c r="BB415" i="1"/>
  <c r="BB414" i="1"/>
  <c r="BB413" i="1"/>
  <c r="BB412" i="1"/>
  <c r="BB411" i="1"/>
  <c r="BB410" i="1"/>
  <c r="BB409" i="1"/>
  <c r="BB408" i="1"/>
  <c r="BB407" i="1"/>
  <c r="BB406" i="1"/>
  <c r="BB405" i="1"/>
  <c r="BB404" i="1"/>
  <c r="BB403" i="1"/>
  <c r="BB402" i="1"/>
  <c r="BB401" i="1"/>
  <c r="BB400" i="1"/>
  <c r="BB399" i="1"/>
  <c r="BB398" i="1"/>
  <c r="BB397" i="1"/>
  <c r="BB396" i="1"/>
  <c r="BB395" i="1"/>
  <c r="BB394" i="1"/>
  <c r="BB393" i="1"/>
  <c r="BB392" i="1"/>
  <c r="BB391" i="1"/>
  <c r="BB390" i="1"/>
  <c r="BB389" i="1"/>
  <c r="BB388" i="1"/>
  <c r="BB387" i="1"/>
  <c r="BB386" i="1"/>
  <c r="BB385" i="1"/>
  <c r="BB384" i="1"/>
  <c r="BB383" i="1"/>
  <c r="BB382" i="1"/>
  <c r="BB381" i="1"/>
  <c r="BB380" i="1"/>
  <c r="BB379" i="1"/>
  <c r="BB378" i="1"/>
  <c r="BB377" i="1"/>
  <c r="BB376" i="1"/>
  <c r="BB375" i="1"/>
  <c r="BB374" i="1"/>
  <c r="BB373" i="1"/>
  <c r="BB372" i="1"/>
  <c r="BB371" i="1"/>
  <c r="BB370" i="1"/>
  <c r="BB369" i="1"/>
  <c r="BB368" i="1"/>
  <c r="BB367" i="1"/>
  <c r="BB366" i="1"/>
  <c r="BB365" i="1"/>
  <c r="BB364" i="1"/>
  <c r="BB363" i="1"/>
  <c r="BB362" i="1"/>
  <c r="BB361" i="1"/>
  <c r="BB360" i="1"/>
  <c r="BB359" i="1"/>
  <c r="BB358" i="1"/>
  <c r="BB357" i="1"/>
  <c r="BB356" i="1"/>
  <c r="BB355" i="1"/>
  <c r="BB354" i="1"/>
  <c r="BB353" i="1"/>
  <c r="BB352" i="1"/>
  <c r="BB351" i="1"/>
  <c r="BB350" i="1"/>
  <c r="BB349" i="1"/>
  <c r="BB348" i="1"/>
  <c r="BB347" i="1"/>
  <c r="BB346" i="1"/>
  <c r="BB345" i="1"/>
  <c r="BB344" i="1"/>
  <c r="BB343" i="1"/>
  <c r="BB342" i="1"/>
  <c r="BB341" i="1"/>
  <c r="BB340" i="1"/>
  <c r="BB339" i="1"/>
  <c r="BB338" i="1"/>
  <c r="BB337" i="1"/>
  <c r="BB336" i="1"/>
  <c r="BB335" i="1"/>
  <c r="BB334" i="1"/>
  <c r="BB333" i="1"/>
  <c r="BB332" i="1"/>
  <c r="BB331" i="1"/>
  <c r="BB330" i="1"/>
  <c r="BB329" i="1"/>
  <c r="BB328" i="1"/>
  <c r="BB327" i="1"/>
  <c r="BB326" i="1"/>
  <c r="BB325" i="1"/>
  <c r="BB324" i="1"/>
  <c r="BB323" i="1"/>
  <c r="BB322" i="1"/>
  <c r="BB321" i="1"/>
  <c r="BB320" i="1"/>
  <c r="BB319" i="1"/>
  <c r="BB318" i="1"/>
  <c r="BB317" i="1"/>
  <c r="BB316" i="1"/>
  <c r="BB315" i="1"/>
  <c r="BB314" i="1"/>
  <c r="BB313" i="1"/>
  <c r="BB312" i="1"/>
  <c r="BB311" i="1"/>
  <c r="BB310" i="1"/>
  <c r="BB309" i="1"/>
  <c r="BB308" i="1"/>
  <c r="BB307" i="1"/>
  <c r="BB306" i="1"/>
  <c r="BB305" i="1"/>
  <c r="BB304" i="1"/>
  <c r="BB303" i="1"/>
  <c r="BB302" i="1"/>
  <c r="BB301" i="1"/>
  <c r="BB300" i="1"/>
  <c r="BB299" i="1"/>
  <c r="BB298" i="1"/>
  <c r="BB297" i="1"/>
  <c r="BB296" i="1"/>
  <c r="BB295" i="1"/>
  <c r="BB294" i="1"/>
  <c r="BB293" i="1"/>
  <c r="BB292" i="1"/>
  <c r="BB291" i="1"/>
  <c r="BB290" i="1"/>
  <c r="BB289" i="1"/>
  <c r="BB288" i="1"/>
  <c r="BB287" i="1"/>
  <c r="BB286" i="1"/>
  <c r="BB285" i="1"/>
  <c r="BB284" i="1"/>
  <c r="BB283" i="1"/>
  <c r="BB282" i="1"/>
  <c r="BB281" i="1"/>
  <c r="BB280" i="1"/>
  <c r="BB279" i="1"/>
  <c r="BB278" i="1"/>
  <c r="BB277" i="1"/>
  <c r="BB276" i="1"/>
  <c r="BB275" i="1"/>
  <c r="BB274" i="1"/>
  <c r="BB273" i="1"/>
  <c r="BB272" i="1"/>
  <c r="BB271" i="1"/>
  <c r="BB270" i="1"/>
  <c r="BB269" i="1"/>
  <c r="BB268" i="1"/>
  <c r="BB267" i="1"/>
  <c r="BB266" i="1"/>
  <c r="BB265" i="1"/>
  <c r="BB264" i="1"/>
  <c r="BB263" i="1"/>
  <c r="BB262" i="1"/>
  <c r="BB261" i="1"/>
  <c r="BB260" i="1"/>
  <c r="BB259" i="1"/>
  <c r="BB258" i="1"/>
  <c r="BB257" i="1"/>
  <c r="BB256" i="1"/>
  <c r="BB255" i="1"/>
  <c r="BB254" i="1"/>
  <c r="BB253" i="1"/>
  <c r="BB252" i="1"/>
  <c r="BB251" i="1"/>
  <c r="BB250" i="1"/>
  <c r="BB249" i="1"/>
  <c r="BB248" i="1"/>
  <c r="BB247" i="1"/>
  <c r="BB246" i="1"/>
  <c r="BB245" i="1"/>
  <c r="BB244" i="1"/>
  <c r="BB243" i="1"/>
  <c r="BB242" i="1"/>
  <c r="BB241" i="1"/>
  <c r="BB240" i="1"/>
  <c r="BB239" i="1"/>
  <c r="BB238" i="1"/>
  <c r="BB237" i="1"/>
  <c r="BB236" i="1"/>
  <c r="BB235" i="1"/>
  <c r="BB234" i="1"/>
  <c r="BB233" i="1"/>
  <c r="BB232" i="1"/>
  <c r="BB231" i="1"/>
  <c r="BB230" i="1"/>
  <c r="BB229" i="1"/>
  <c r="BB228" i="1"/>
  <c r="BB227" i="1"/>
  <c r="BB226" i="1"/>
  <c r="BB225" i="1"/>
  <c r="BB224" i="1"/>
  <c r="BB223" i="1"/>
  <c r="BB222" i="1"/>
  <c r="BB221" i="1"/>
  <c r="BB220" i="1"/>
  <c r="BB219" i="1"/>
  <c r="BB218" i="1"/>
  <c r="BB217" i="1"/>
  <c r="BB216" i="1"/>
  <c r="BB215" i="1"/>
  <c r="BB214" i="1"/>
  <c r="BB213" i="1"/>
  <c r="BB212" i="1"/>
  <c r="BB211" i="1"/>
  <c r="BB210" i="1"/>
  <c r="BB209" i="1"/>
  <c r="BB208" i="1"/>
  <c r="BB207" i="1"/>
  <c r="BB206" i="1"/>
  <c r="BB205" i="1"/>
  <c r="BB204" i="1"/>
  <c r="BB203" i="1"/>
  <c r="BB202" i="1"/>
  <c r="BB201" i="1"/>
  <c r="BB200" i="1"/>
  <c r="BB199" i="1"/>
  <c r="BB198" i="1"/>
  <c r="BB197" i="1"/>
  <c r="BB196" i="1"/>
  <c r="BB195" i="1"/>
  <c r="BB194" i="1"/>
  <c r="BB193" i="1"/>
  <c r="BB192" i="1"/>
  <c r="BB191" i="1"/>
  <c r="BB190" i="1"/>
  <c r="BB189" i="1"/>
  <c r="BB188" i="1"/>
  <c r="BB187" i="1"/>
  <c r="BB186" i="1"/>
  <c r="BB185" i="1"/>
  <c r="BB184" i="1"/>
  <c r="BB183" i="1"/>
  <c r="BB182" i="1"/>
  <c r="BB181" i="1"/>
  <c r="BB180" i="1"/>
  <c r="BB179" i="1"/>
  <c r="BB178" i="1"/>
  <c r="BB177" i="1"/>
  <c r="BB176" i="1"/>
  <c r="BB175" i="1"/>
  <c r="BB174" i="1"/>
  <c r="BB173" i="1"/>
  <c r="BB172" i="1"/>
  <c r="BB171" i="1"/>
  <c r="BB170" i="1"/>
  <c r="BB169" i="1"/>
  <c r="BB168" i="1"/>
  <c r="BB167" i="1"/>
  <c r="BB166" i="1"/>
  <c r="BB165" i="1"/>
  <c r="BB164" i="1"/>
  <c r="BB163" i="1"/>
  <c r="BB162" i="1"/>
  <c r="BB161" i="1"/>
  <c r="BB160" i="1"/>
  <c r="BB159" i="1"/>
  <c r="BB158" i="1"/>
  <c r="BB157" i="1"/>
  <c r="BB156" i="1"/>
  <c r="BB155" i="1"/>
  <c r="BB154" i="1"/>
  <c r="BB153" i="1"/>
  <c r="BB152" i="1"/>
  <c r="BB151" i="1"/>
  <c r="BB150" i="1"/>
  <c r="BB149" i="1"/>
  <c r="BB148" i="1"/>
  <c r="BB147" i="1"/>
  <c r="BB146" i="1"/>
  <c r="BB145" i="1"/>
  <c r="BB144" i="1"/>
  <c r="BB143" i="1"/>
  <c r="BB142" i="1"/>
  <c r="BB141" i="1"/>
  <c r="BB140" i="1"/>
  <c r="BB139" i="1"/>
  <c r="BB138" i="1"/>
  <c r="BB137" i="1"/>
  <c r="BB136" i="1"/>
  <c r="BB135" i="1"/>
  <c r="BB134" i="1"/>
  <c r="BB133" i="1"/>
  <c r="BB132" i="1"/>
  <c r="BB131" i="1"/>
  <c r="BB130" i="1"/>
  <c r="BB129" i="1"/>
  <c r="BB128" i="1"/>
  <c r="BB127" i="1"/>
  <c r="BB126" i="1"/>
  <c r="BB125" i="1"/>
  <c r="BB124" i="1"/>
  <c r="BB123" i="1"/>
  <c r="BB122" i="1"/>
  <c r="BB121" i="1"/>
  <c r="BB120" i="1"/>
  <c r="BB119" i="1"/>
  <c r="BB118" i="1"/>
  <c r="BB117" i="1"/>
  <c r="BB116" i="1"/>
  <c r="BB115" i="1"/>
  <c r="BB114" i="1"/>
  <c r="BB113" i="1"/>
  <c r="BB112" i="1"/>
  <c r="BB111" i="1"/>
  <c r="BB110" i="1"/>
  <c r="BB109" i="1"/>
  <c r="BB108" i="1"/>
  <c r="BB107" i="1"/>
  <c r="BB106" i="1"/>
  <c r="BB105" i="1"/>
  <c r="BB104" i="1"/>
  <c r="BB103" i="1"/>
  <c r="BB102" i="1"/>
  <c r="BB101" i="1"/>
  <c r="BB100" i="1"/>
  <c r="BB99" i="1"/>
  <c r="BB98" i="1"/>
  <c r="BB97" i="1"/>
  <c r="BB96" i="1"/>
  <c r="BB95" i="1"/>
  <c r="BB94" i="1"/>
  <c r="BB93" i="1"/>
  <c r="BB92" i="1"/>
  <c r="BB91" i="1"/>
  <c r="BB90" i="1"/>
  <c r="BB89" i="1"/>
  <c r="BB88" i="1"/>
  <c r="BB87" i="1"/>
  <c r="BB86" i="1"/>
  <c r="BB85" i="1"/>
  <c r="BB84" i="1"/>
  <c r="BB83" i="1"/>
  <c r="BB82" i="1"/>
  <c r="BB81" i="1"/>
  <c r="BB80" i="1"/>
  <c r="BB79" i="1"/>
  <c r="BB78" i="1"/>
  <c r="BB77" i="1"/>
  <c r="BB76" i="1"/>
  <c r="BB75" i="1"/>
  <c r="BB74" i="1"/>
  <c r="BB73" i="1"/>
  <c r="BB72" i="1"/>
  <c r="BB71" i="1"/>
  <c r="BB70" i="1"/>
  <c r="BB69" i="1"/>
  <c r="BB68" i="1"/>
  <c r="BB67" i="1"/>
  <c r="BB66" i="1"/>
  <c r="BB65" i="1"/>
  <c r="BB64" i="1"/>
  <c r="BB63" i="1"/>
  <c r="BB62" i="1"/>
  <c r="BB61" i="1"/>
  <c r="BB60" i="1"/>
  <c r="BB59" i="1"/>
  <c r="BB58" i="1"/>
  <c r="BB57" i="1"/>
  <c r="BB56" i="1"/>
  <c r="BB55" i="1"/>
  <c r="BB54" i="1"/>
  <c r="BB53" i="1"/>
  <c r="BB52" i="1"/>
  <c r="BB51" i="1"/>
  <c r="BB50" i="1"/>
  <c r="BB49" i="1"/>
  <c r="BB48" i="1"/>
  <c r="BB47" i="1"/>
  <c r="BB46" i="1"/>
  <c r="BB45" i="1"/>
  <c r="BB44" i="1"/>
  <c r="BB43" i="1"/>
  <c r="BB42" i="1"/>
  <c r="BB41" i="1"/>
  <c r="BB40" i="1"/>
  <c r="BB39" i="1"/>
  <c r="BB38" i="1"/>
  <c r="BB37" i="1"/>
  <c r="BB36" i="1"/>
  <c r="BB35" i="1"/>
  <c r="BB34" i="1"/>
  <c r="BB33" i="1"/>
  <c r="BB32" i="1"/>
  <c r="BB31" i="1"/>
  <c r="BB30" i="1"/>
  <c r="BB29" i="1"/>
  <c r="BB28" i="1"/>
  <c r="BB27" i="1"/>
  <c r="BB26" i="1"/>
  <c r="BB25" i="1"/>
  <c r="BB24" i="1"/>
  <c r="BB23" i="1"/>
  <c r="BB22" i="1"/>
  <c r="BB21" i="1"/>
  <c r="BB20" i="1"/>
  <c r="BB19" i="1"/>
  <c r="BB18" i="1"/>
  <c r="BB17" i="1"/>
  <c r="BB16" i="1"/>
  <c r="BB15" i="1"/>
  <c r="BB14" i="1"/>
  <c r="BB13" i="1"/>
  <c r="BB12" i="1"/>
  <c r="BB11" i="1"/>
  <c r="BB10" i="1"/>
  <c r="BB9" i="1"/>
  <c r="BB8" i="1"/>
  <c r="BB7" i="1"/>
  <c r="BB6" i="1"/>
  <c r="BB5" i="1"/>
  <c r="BB4" i="1"/>
  <c r="BB3" i="1"/>
  <c r="BB2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U2" i="1"/>
  <c r="S2" i="1"/>
</calcChain>
</file>

<file path=xl/sharedStrings.xml><?xml version="1.0" encoding="utf-8"?>
<sst xmlns="http://schemas.openxmlformats.org/spreadsheetml/2006/main" count="5279" uniqueCount="1045">
  <si>
    <t>Stock #</t>
  </si>
  <si>
    <t>Availability</t>
  </si>
  <si>
    <t>Shape</t>
  </si>
  <si>
    <t>Weight</t>
  </si>
  <si>
    <t>Color</t>
  </si>
  <si>
    <t>Clarity</t>
  </si>
  <si>
    <t>Cut Grade</t>
  </si>
  <si>
    <t>Polish</t>
  </si>
  <si>
    <t>Symmetry</t>
  </si>
  <si>
    <t>Fluorescence Intensity</t>
  </si>
  <si>
    <t>Fluorescence Color</t>
  </si>
  <si>
    <t>Measurements</t>
  </si>
  <si>
    <t>BGM</t>
  </si>
  <si>
    <t>Eye Clean</t>
  </si>
  <si>
    <t>Lab</t>
  </si>
  <si>
    <t>Report #</t>
  </si>
  <si>
    <t>Treatment</t>
  </si>
  <si>
    <t>Price Per Ct</t>
  </si>
  <si>
    <t>Total Price</t>
  </si>
  <si>
    <t>Discount %</t>
  </si>
  <si>
    <t>Toatal Price After Discount</t>
  </si>
  <si>
    <t>Depth (%) (Ex. : 5.5)</t>
  </si>
  <si>
    <t>Table (%) (Ex. : 50.65)</t>
  </si>
  <si>
    <t>Girdle Thin</t>
  </si>
  <si>
    <t>Girdle Thick</t>
  </si>
  <si>
    <t>Girdle %</t>
  </si>
  <si>
    <t>Girdle Condition</t>
  </si>
  <si>
    <t>Culet Size</t>
  </si>
  <si>
    <t>Culet Condition</t>
  </si>
  <si>
    <t>Crown Height</t>
  </si>
  <si>
    <t>Crown Angle</t>
  </si>
  <si>
    <t>Pavilion Depth</t>
  </si>
  <si>
    <t>Pavilion Angle</t>
  </si>
  <si>
    <t>Laser Inscription</t>
  </si>
  <si>
    <t>Cert comment</t>
  </si>
  <si>
    <t>Key to symbols</t>
  </si>
  <si>
    <t>Member Comment</t>
  </si>
  <si>
    <t xml:space="preserve">Star Length </t>
  </si>
  <si>
    <t>Shade</t>
  </si>
  <si>
    <t>White Inclusion</t>
  </si>
  <si>
    <t>Black Inclusion</t>
  </si>
  <si>
    <t>Open Inclusion</t>
  </si>
  <si>
    <t>Milky</t>
  </si>
  <si>
    <t>Fancy Color</t>
  </si>
  <si>
    <t>Fancy Color Intensity</t>
  </si>
  <si>
    <t>Fancy Color Overtone</t>
  </si>
  <si>
    <t>Country</t>
  </si>
  <si>
    <t>State</t>
  </si>
  <si>
    <t>City</t>
  </si>
  <si>
    <t>Brand</t>
  </si>
  <si>
    <t>Seller Spec</t>
  </si>
  <si>
    <t>Report Filename</t>
  </si>
  <si>
    <t>Diamond Image</t>
  </si>
  <si>
    <t>Video Link</t>
  </si>
  <si>
    <t>Sarine Loupe</t>
  </si>
  <si>
    <t>Trade Show</t>
  </si>
  <si>
    <t>Report Issue Date</t>
  </si>
  <si>
    <t>Report Type</t>
  </si>
  <si>
    <t>Lab Location</t>
  </si>
  <si>
    <t>Pair Stock #</t>
  </si>
  <si>
    <t>Is Matched Pair Separable</t>
  </si>
  <si>
    <t>Parcel Stones</t>
  </si>
  <si>
    <t>HN-128-03</t>
  </si>
  <si>
    <t>HN-128-07</t>
  </si>
  <si>
    <t>HN-97-50</t>
  </si>
  <si>
    <t>HN-97-49</t>
  </si>
  <si>
    <t>HN-87-2</t>
  </si>
  <si>
    <t>HN-178-2</t>
  </si>
  <si>
    <t>HN-142-108</t>
  </si>
  <si>
    <t>HN-164-27</t>
  </si>
  <si>
    <t>HN-52-41</t>
  </si>
  <si>
    <t>HN-141-86</t>
  </si>
  <si>
    <t>HN-169-7</t>
  </si>
  <si>
    <t>HN-7001</t>
  </si>
  <si>
    <t>HN-52-30</t>
  </si>
  <si>
    <t>HN-52-27</t>
  </si>
  <si>
    <t>HN-129-5</t>
  </si>
  <si>
    <t>HN-744</t>
  </si>
  <si>
    <t>HN-7000</t>
  </si>
  <si>
    <t>HN-127-2</t>
  </si>
  <si>
    <t>HN-130-37</t>
  </si>
  <si>
    <t>HN-7002</t>
  </si>
  <si>
    <t>HN-750</t>
  </si>
  <si>
    <t>HN-159-46</t>
  </si>
  <si>
    <t>HN-127-6</t>
  </si>
  <si>
    <t>HN-778</t>
  </si>
  <si>
    <t>HN-151-27</t>
  </si>
  <si>
    <t>HN-704</t>
  </si>
  <si>
    <t>HN-797</t>
  </si>
  <si>
    <t>HN-159-36</t>
  </si>
  <si>
    <t>HN-7006</t>
  </si>
  <si>
    <t>HN-798</t>
  </si>
  <si>
    <t>HN-97-70</t>
  </si>
  <si>
    <t>HN-7003</t>
  </si>
  <si>
    <t>HN-159-57</t>
  </si>
  <si>
    <t>HN-781</t>
  </si>
  <si>
    <t>HN-794</t>
  </si>
  <si>
    <t>HN-779</t>
  </si>
  <si>
    <t>HN-186-38</t>
  </si>
  <si>
    <t>HN-774</t>
  </si>
  <si>
    <t>HN-7004</t>
  </si>
  <si>
    <t>HN-141-76</t>
  </si>
  <si>
    <t>HN-796</t>
  </si>
  <si>
    <t>HN-768</t>
  </si>
  <si>
    <t>HN-167-49</t>
  </si>
  <si>
    <t>HN-186-42</t>
  </si>
  <si>
    <t>HN-160-57</t>
  </si>
  <si>
    <t>HN-97-69</t>
  </si>
  <si>
    <t>HN-726</t>
  </si>
  <si>
    <t>HN-151-30</t>
  </si>
  <si>
    <t>HN-154-23</t>
  </si>
  <si>
    <t>HN-152-59</t>
  </si>
  <si>
    <t>HN-152-45</t>
  </si>
  <si>
    <t>HN-135-73</t>
  </si>
  <si>
    <t>HN-776</t>
  </si>
  <si>
    <t>HN-44-163</t>
  </si>
  <si>
    <t>HN-153-19</t>
  </si>
  <si>
    <t>HN-142-117</t>
  </si>
  <si>
    <t>HN-186-7</t>
  </si>
  <si>
    <t>HN-159-44</t>
  </si>
  <si>
    <t>HN-791</t>
  </si>
  <si>
    <t>HN-169-95</t>
  </si>
  <si>
    <t>HN-795</t>
  </si>
  <si>
    <t>HN-799</t>
  </si>
  <si>
    <t>HN-186-22</t>
  </si>
  <si>
    <t>HN-151-29</t>
  </si>
  <si>
    <t>HN-153-59</t>
  </si>
  <si>
    <t>HN-154-12</t>
  </si>
  <si>
    <t>HN-181-7</t>
  </si>
  <si>
    <t>HN-154-13</t>
  </si>
  <si>
    <t>HN-730</t>
  </si>
  <si>
    <t>HN-780</t>
  </si>
  <si>
    <t>HN-167-39</t>
  </si>
  <si>
    <t>HN-184-16</t>
  </si>
  <si>
    <t>HN-184-30</t>
  </si>
  <si>
    <t>HN-182-36</t>
  </si>
  <si>
    <t>HN-181-22</t>
  </si>
  <si>
    <t>HN-7005</t>
  </si>
  <si>
    <t>HN-184-43</t>
  </si>
  <si>
    <t>HN-7016</t>
  </si>
  <si>
    <t>HN-181-39</t>
  </si>
  <si>
    <t>HN-775</t>
  </si>
  <si>
    <t>HN-160-78</t>
  </si>
  <si>
    <t>HN-184-29</t>
  </si>
  <si>
    <t>HN-741</t>
  </si>
  <si>
    <t>HN-754</t>
  </si>
  <si>
    <t>HN-702</t>
  </si>
  <si>
    <t>HN-166-19</t>
  </si>
  <si>
    <t>HN-777</t>
  </si>
  <si>
    <t>HN-719</t>
  </si>
  <si>
    <t>HN-169-97</t>
  </si>
  <si>
    <t>HN-174-95</t>
  </si>
  <si>
    <t>HN-159-55</t>
  </si>
  <si>
    <t>SM-3-2</t>
  </si>
  <si>
    <t>HN-44-43</t>
  </si>
  <si>
    <t>HN-80-61</t>
  </si>
  <si>
    <t>HN-130-11</t>
  </si>
  <si>
    <t>HN-127-11</t>
  </si>
  <si>
    <t>HN-159-7</t>
  </si>
  <si>
    <t>HN-141-41</t>
  </si>
  <si>
    <t>HN-141-39</t>
  </si>
  <si>
    <t>HN-141-40</t>
  </si>
  <si>
    <t>HN-152-19</t>
  </si>
  <si>
    <t>HN-147-18</t>
  </si>
  <si>
    <t>HN-147-17</t>
  </si>
  <si>
    <t>HN-127-44</t>
  </si>
  <si>
    <t>HN-154-8</t>
  </si>
  <si>
    <t>HN-127-16</t>
  </si>
  <si>
    <t>HN-154-6</t>
  </si>
  <si>
    <t>HN-148-9</t>
  </si>
  <si>
    <t>HN-142-46</t>
  </si>
  <si>
    <t>HN-142-43</t>
  </si>
  <si>
    <t>HN-137-34</t>
  </si>
  <si>
    <t>HN-151-5</t>
  </si>
  <si>
    <t>HN-127-41</t>
  </si>
  <si>
    <t>HN-159-2</t>
  </si>
  <si>
    <t>HN-129-10</t>
  </si>
  <si>
    <t>HN-150-5</t>
  </si>
  <si>
    <t>HN-128-19</t>
  </si>
  <si>
    <t>HN-151-4</t>
  </si>
  <si>
    <t>HN-142-42</t>
  </si>
  <si>
    <t>HN-141-38</t>
  </si>
  <si>
    <t>HN-159-5</t>
  </si>
  <si>
    <t>HN-154-7</t>
  </si>
  <si>
    <t>HN-743</t>
  </si>
  <si>
    <t>HN-152-18</t>
  </si>
  <si>
    <t>HN-159-8</t>
  </si>
  <si>
    <t>HN-147-20</t>
  </si>
  <si>
    <t>HN-159-3</t>
  </si>
  <si>
    <t>HN-148-3</t>
  </si>
  <si>
    <t>HN-141-37</t>
  </si>
  <si>
    <t>HN-141-36</t>
  </si>
  <si>
    <t>HN-152-17</t>
  </si>
  <si>
    <t>HN-159-4</t>
  </si>
  <si>
    <t>HN-135-29</t>
  </si>
  <si>
    <t>HN-141-35</t>
  </si>
  <si>
    <t>HN-134-83</t>
  </si>
  <si>
    <t>HN-135-31</t>
  </si>
  <si>
    <t>HN-150-3</t>
  </si>
  <si>
    <t>HN-152-16</t>
  </si>
  <si>
    <t>HN-43-95</t>
  </si>
  <si>
    <t>HN-134-82</t>
  </si>
  <si>
    <t>HN-154-5</t>
  </si>
  <si>
    <t>HN-137-32</t>
  </si>
  <si>
    <t>HN-142-44</t>
  </si>
  <si>
    <t>HN-137-30</t>
  </si>
  <si>
    <t>HN-147-25</t>
  </si>
  <si>
    <t>HN-127-38-A</t>
  </si>
  <si>
    <t>HN-134-81</t>
  </si>
  <si>
    <t>HN-136-51</t>
  </si>
  <si>
    <t>HN-127-36-B</t>
  </si>
  <si>
    <t>HN-136-49</t>
  </si>
  <si>
    <t>HN-160-15</t>
  </si>
  <si>
    <t>HN-160-13</t>
  </si>
  <si>
    <t>HN-136-47</t>
  </si>
  <si>
    <t>HN-148-4</t>
  </si>
  <si>
    <t>HN-102-58</t>
  </si>
  <si>
    <t>HN-100-59</t>
  </si>
  <si>
    <t>HN-148-10</t>
  </si>
  <si>
    <t>HN-44-18</t>
  </si>
  <si>
    <t>HN-136-50</t>
  </si>
  <si>
    <t>HN-135-26</t>
  </si>
  <si>
    <t>HN-137-29</t>
  </si>
  <si>
    <t>HN-129-49</t>
  </si>
  <si>
    <t>HN-43-59</t>
  </si>
  <si>
    <t>HN-723</t>
  </si>
  <si>
    <t>HN-128-20</t>
  </si>
  <si>
    <t>HN-129-21</t>
  </si>
  <si>
    <t>HN-735</t>
  </si>
  <si>
    <t>HN-130-33</t>
  </si>
  <si>
    <t>HN-159-29</t>
  </si>
  <si>
    <t>HN-142-32</t>
  </si>
  <si>
    <t>HN-127-5</t>
  </si>
  <si>
    <t>HN-129-27</t>
  </si>
  <si>
    <t>HN-52-24</t>
  </si>
  <si>
    <t>HN-141-25</t>
  </si>
  <si>
    <t>HN-711</t>
  </si>
  <si>
    <t>HN-128-06</t>
  </si>
  <si>
    <t>HN-127-46</t>
  </si>
  <si>
    <t>HN-162-1</t>
  </si>
  <si>
    <t>HN-773</t>
  </si>
  <si>
    <t>HN-141-24</t>
  </si>
  <si>
    <t>HN-793</t>
  </si>
  <si>
    <t>HN-127-19</t>
  </si>
  <si>
    <t>HN-128-30</t>
  </si>
  <si>
    <t>HN-130-5</t>
  </si>
  <si>
    <t>HN-129-8</t>
  </si>
  <si>
    <t>HN-129-93</t>
  </si>
  <si>
    <t>HN-128-40</t>
  </si>
  <si>
    <t>HN-130-22</t>
  </si>
  <si>
    <t>HN-130-6</t>
  </si>
  <si>
    <t>HN-737</t>
  </si>
  <si>
    <t>HN-786</t>
  </si>
  <si>
    <t>HN-159-31</t>
  </si>
  <si>
    <t>HN-148-31</t>
  </si>
  <si>
    <t>HN-129-43</t>
  </si>
  <si>
    <t>HN-785</t>
  </si>
  <si>
    <t>HN-130-34</t>
  </si>
  <si>
    <t>HN-134-87</t>
  </si>
  <si>
    <t>HN-792</t>
  </si>
  <si>
    <t>HN-772</t>
  </si>
  <si>
    <t>HN-756</t>
  </si>
  <si>
    <t>HN-97-37</t>
  </si>
  <si>
    <t>HN-129-7</t>
  </si>
  <si>
    <t>HN-127-35</t>
  </si>
  <si>
    <t>HN-52-17</t>
  </si>
  <si>
    <t>HN-141-29</t>
  </si>
  <si>
    <t>HN-52-21</t>
  </si>
  <si>
    <t>HN-159-22</t>
  </si>
  <si>
    <t>HN-130-38</t>
  </si>
  <si>
    <t>HN-128-31</t>
  </si>
  <si>
    <t>HN-43-152</t>
  </si>
  <si>
    <t>HN-153-9</t>
  </si>
  <si>
    <t>HN-43-149</t>
  </si>
  <si>
    <t>HN-142-20</t>
  </si>
  <si>
    <t>HN-137-27</t>
  </si>
  <si>
    <t>HN-7011</t>
  </si>
  <si>
    <t>HN-160-12</t>
  </si>
  <si>
    <t>HN-43-151</t>
  </si>
  <si>
    <t>HN-43-150</t>
  </si>
  <si>
    <t>HN-44-80</t>
  </si>
  <si>
    <t>HN-159-26</t>
  </si>
  <si>
    <t>HN-44-8</t>
  </si>
  <si>
    <t>HN-769</t>
  </si>
  <si>
    <t>HN-134-1</t>
  </si>
  <si>
    <t>HN-136-20</t>
  </si>
  <si>
    <t>HN40-121</t>
  </si>
  <si>
    <t>HN-160-11</t>
  </si>
  <si>
    <t>HN-159-23</t>
  </si>
  <si>
    <t>HN-783</t>
  </si>
  <si>
    <t>HN-150-6</t>
  </si>
  <si>
    <t>HN-159-21</t>
  </si>
  <si>
    <t>HN-761</t>
  </si>
  <si>
    <t>HN-151-7</t>
  </si>
  <si>
    <t>HN-151-8</t>
  </si>
  <si>
    <t>HN-128-42</t>
  </si>
  <si>
    <t>HN-784</t>
  </si>
  <si>
    <t>HN-135-36</t>
  </si>
  <si>
    <t>HN-40-120</t>
  </si>
  <si>
    <t>HN-43-155</t>
  </si>
  <si>
    <t>HN-40-164</t>
  </si>
  <si>
    <t>HN-43-141</t>
  </si>
  <si>
    <t>HN-44-198</t>
  </si>
  <si>
    <t>HN-43-146</t>
  </si>
  <si>
    <t>HN-81-62</t>
  </si>
  <si>
    <t>HN-43-144</t>
  </si>
  <si>
    <t>HN-44-92</t>
  </si>
  <si>
    <t>HN-43-145</t>
  </si>
  <si>
    <t>HN-43-139</t>
  </si>
  <si>
    <t>HN-52-33</t>
  </si>
  <si>
    <t>HN-52-36</t>
  </si>
  <si>
    <t>HN-52-16</t>
  </si>
  <si>
    <t>HN-52-39</t>
  </si>
  <si>
    <t>HN-52-20</t>
  </si>
  <si>
    <t>HN-762</t>
  </si>
  <si>
    <t>HN-130-102</t>
  </si>
  <si>
    <t>HN-788</t>
  </si>
  <si>
    <t>HN-44-42</t>
  </si>
  <si>
    <t>HN-142-29</t>
  </si>
  <si>
    <t>HN-148-19</t>
  </si>
  <si>
    <t>HN-101-60</t>
  </si>
  <si>
    <t>HN-151-15</t>
  </si>
  <si>
    <t>HN-5</t>
  </si>
  <si>
    <t>HN-7008</t>
  </si>
  <si>
    <t>HN-152-22</t>
  </si>
  <si>
    <t>HN-7009</t>
  </si>
  <si>
    <t>HN-7017</t>
  </si>
  <si>
    <t>HN-150-2</t>
  </si>
  <si>
    <t>HN-3</t>
  </si>
  <si>
    <t>HN-759</t>
  </si>
  <si>
    <t>HN-135-38</t>
  </si>
  <si>
    <t>HN-152-21</t>
  </si>
  <si>
    <t>HN-1</t>
  </si>
  <si>
    <t>HN-2</t>
  </si>
  <si>
    <t>HN-757</t>
  </si>
  <si>
    <t>HN-771</t>
  </si>
  <si>
    <t>HN-130-1</t>
  </si>
  <si>
    <t>HN-153-2</t>
  </si>
  <si>
    <t>HN-746</t>
  </si>
  <si>
    <t>HN-760</t>
  </si>
  <si>
    <t>HN-129-45</t>
  </si>
  <si>
    <t>HN-766</t>
  </si>
  <si>
    <t>HN-7014</t>
  </si>
  <si>
    <t>HN-130-7</t>
  </si>
  <si>
    <t>HN-152-6</t>
  </si>
  <si>
    <t>HN-130-23</t>
  </si>
  <si>
    <t>HN-7015</t>
  </si>
  <si>
    <t>HN-150-10</t>
  </si>
  <si>
    <t>HN-151-10</t>
  </si>
  <si>
    <t>HN-153-7</t>
  </si>
  <si>
    <t>HN-148-26</t>
  </si>
  <si>
    <t>HN-767</t>
  </si>
  <si>
    <t>HN-150-9</t>
  </si>
  <si>
    <t>HN-738</t>
  </si>
  <si>
    <t>HN-127-50</t>
  </si>
  <si>
    <t>HN-736</t>
  </si>
  <si>
    <t>HN-148-28</t>
  </si>
  <si>
    <t>HN-150-8</t>
  </si>
  <si>
    <t>HN-7013</t>
  </si>
  <si>
    <t>HN-755</t>
  </si>
  <si>
    <t>HN-7012</t>
  </si>
  <si>
    <t>HN-153-6</t>
  </si>
  <si>
    <t>HN-722</t>
  </si>
  <si>
    <t>HN-739</t>
  </si>
  <si>
    <t>HN-787</t>
  </si>
  <si>
    <t>HN-150-7</t>
  </si>
  <si>
    <t>HN-7010</t>
  </si>
  <si>
    <t>HN-753</t>
  </si>
  <si>
    <t>HN-748</t>
  </si>
  <si>
    <t>HN-153-1</t>
  </si>
  <si>
    <t>HN-763</t>
  </si>
  <si>
    <t>HN-770</t>
  </si>
  <si>
    <t>HN-80-45</t>
  </si>
  <si>
    <t>HN-717</t>
  </si>
  <si>
    <t>HN-160-7</t>
  </si>
  <si>
    <t>HN-148-14</t>
  </si>
  <si>
    <t>HN-130-31</t>
  </si>
  <si>
    <t>HN-128-01</t>
  </si>
  <si>
    <t>HN-52-22</t>
  </si>
  <si>
    <t>HN-142-25</t>
  </si>
  <si>
    <t>HN-141-12</t>
  </si>
  <si>
    <t>HN-130-2</t>
  </si>
  <si>
    <t>HN-52-46</t>
  </si>
  <si>
    <t>HN-128-02</t>
  </si>
  <si>
    <t>HN-141-11</t>
  </si>
  <si>
    <t>HN-129-9</t>
  </si>
  <si>
    <t>HN-127-1</t>
  </si>
  <si>
    <t>HN-52-34</t>
  </si>
  <si>
    <t>HN-141-10</t>
  </si>
  <si>
    <t>HN-159-19</t>
  </si>
  <si>
    <t>HN-52-53</t>
  </si>
  <si>
    <t>HN-129-12</t>
  </si>
  <si>
    <t>HN-129-13</t>
  </si>
  <si>
    <t>HN-128-15</t>
  </si>
  <si>
    <t>HN-40-44</t>
  </si>
  <si>
    <t>HN-166-35</t>
  </si>
  <si>
    <t>HN-129-15</t>
  </si>
  <si>
    <t>HN-129-25</t>
  </si>
  <si>
    <t>HN-129-30</t>
  </si>
  <si>
    <t>HN-129-14</t>
  </si>
  <si>
    <t>HN-129-6</t>
  </si>
  <si>
    <t>HN-128-44</t>
  </si>
  <si>
    <t>HN-159-16</t>
  </si>
  <si>
    <t>HN-130-9</t>
  </si>
  <si>
    <t>HN-129-20</t>
  </si>
  <si>
    <t>HN-43-171</t>
  </si>
  <si>
    <t>HN-170-103</t>
  </si>
  <si>
    <t>HN-141-21</t>
  </si>
  <si>
    <t>HN-149-10</t>
  </si>
  <si>
    <t>HN-149-11</t>
  </si>
  <si>
    <t>HN-164-9</t>
  </si>
  <si>
    <t>HN-168-75</t>
  </si>
  <si>
    <t>HN-148-13</t>
  </si>
  <si>
    <t>HN-130-26</t>
  </si>
  <si>
    <t>HN-128-24</t>
  </si>
  <si>
    <t>HN-129-24</t>
  </si>
  <si>
    <t>HN-130-39</t>
  </si>
  <si>
    <t>HN-149-7</t>
  </si>
  <si>
    <t>HN-153-12</t>
  </si>
  <si>
    <t>HN-149-8</t>
  </si>
  <si>
    <t>HN-129-29</t>
  </si>
  <si>
    <t>HN-164-10</t>
  </si>
  <si>
    <t>HN-169-91</t>
  </si>
  <si>
    <t>HN-765</t>
  </si>
  <si>
    <t>HN-28</t>
  </si>
  <si>
    <t>HN-129-41</t>
  </si>
  <si>
    <t>HN-129-35</t>
  </si>
  <si>
    <t>HN-130-27</t>
  </si>
  <si>
    <t>HN-43-161</t>
  </si>
  <si>
    <t>HN-130-20</t>
  </si>
  <si>
    <t>HN-127-53</t>
  </si>
  <si>
    <t>HN-129-26</t>
  </si>
  <si>
    <t>HN-149-5</t>
  </si>
  <si>
    <t>HN-87-114</t>
  </si>
  <si>
    <t>HN-747</t>
  </si>
  <si>
    <t>HN-130-10</t>
  </si>
  <si>
    <t>HN-151-12</t>
  </si>
  <si>
    <t>HN-167-78</t>
  </si>
  <si>
    <t>HN-100-5</t>
  </si>
  <si>
    <t>HN-130-21</t>
  </si>
  <si>
    <t>HN-148-12</t>
  </si>
  <si>
    <t>HN-141-18</t>
  </si>
  <si>
    <t>HN-137-14</t>
  </si>
  <si>
    <t>HN-128-50</t>
  </si>
  <si>
    <t>HN-141-19</t>
  </si>
  <si>
    <t>HN-150-17</t>
  </si>
  <si>
    <t>HN-141-17</t>
  </si>
  <si>
    <t>HN-43-24</t>
  </si>
  <si>
    <t>HN-135-18</t>
  </si>
  <si>
    <t>HN-130-41</t>
  </si>
  <si>
    <t>HN-148-15</t>
  </si>
  <si>
    <t>HN-149-4</t>
  </si>
  <si>
    <t>HN-37-100-A</t>
  </si>
  <si>
    <t>HN-141-16</t>
  </si>
  <si>
    <t>HN-67-56</t>
  </si>
  <si>
    <t>HN-36</t>
  </si>
  <si>
    <t>HN-129-4</t>
  </si>
  <si>
    <t>HN-147-15</t>
  </si>
  <si>
    <t>HN-137-9</t>
  </si>
  <si>
    <t>HN-137-15</t>
  </si>
  <si>
    <t>HN-134-75</t>
  </si>
  <si>
    <t>HN-129-91</t>
  </si>
  <si>
    <t>HN-25</t>
  </si>
  <si>
    <t>HN-136-43</t>
  </si>
  <si>
    <t>HN-39-122</t>
  </si>
  <si>
    <t>HN-137-11</t>
  </si>
  <si>
    <t>HN-43-169</t>
  </si>
  <si>
    <t>HN-147-11</t>
  </si>
  <si>
    <t>HN-134-24</t>
  </si>
  <si>
    <t>HN-105-14</t>
  </si>
  <si>
    <t>HN-141-15</t>
  </si>
  <si>
    <t>HN-43-180</t>
  </si>
  <si>
    <t>HN-148-11</t>
  </si>
  <si>
    <t>HN-149-2</t>
  </si>
  <si>
    <t>HN-150-16</t>
  </si>
  <si>
    <t>HN-141-13</t>
  </si>
  <si>
    <t>HN-40-105</t>
  </si>
  <si>
    <t>HN-129-18</t>
  </si>
  <si>
    <t>HN-147-9</t>
  </si>
  <si>
    <t>HN-159-14</t>
  </si>
  <si>
    <t>HN-137-13</t>
  </si>
  <si>
    <t>HN-39-131</t>
  </si>
  <si>
    <t>HN-37-60</t>
  </si>
  <si>
    <t>HN-137-8</t>
  </si>
  <si>
    <t>HN-150-13</t>
  </si>
  <si>
    <t>HN-127-23</t>
  </si>
  <si>
    <t>HN-43-25</t>
  </si>
  <si>
    <t>HN-135-16</t>
  </si>
  <si>
    <t>HN-159-18</t>
  </si>
  <si>
    <t>HN-40-117</t>
  </si>
  <si>
    <t>HN-97-51</t>
  </si>
  <si>
    <t>HN-136-32</t>
  </si>
  <si>
    <t>HN-160-2</t>
  </si>
  <si>
    <t>HN-137-4</t>
  </si>
  <si>
    <t>HN-148-18</t>
  </si>
  <si>
    <t>HN-142-24</t>
  </si>
  <si>
    <t>HN-151-11</t>
  </si>
  <si>
    <t>HN-134-74</t>
  </si>
  <si>
    <t>HN-136-35</t>
  </si>
  <si>
    <t>HN-135-41</t>
  </si>
  <si>
    <t>HN-86-76</t>
  </si>
  <si>
    <t>HN-147-14</t>
  </si>
  <si>
    <t>HN-789</t>
  </si>
  <si>
    <t>HN-782</t>
  </si>
  <si>
    <t>HN-8-58</t>
  </si>
  <si>
    <t>HN-150-12</t>
  </si>
  <si>
    <t>HN-135-12</t>
  </si>
  <si>
    <t>HN-137-2</t>
  </si>
  <si>
    <t>HN-141-7</t>
  </si>
  <si>
    <t>HN-136-36</t>
  </si>
  <si>
    <t>HN-81-161</t>
  </si>
  <si>
    <t>HN-147-8</t>
  </si>
  <si>
    <t>HN-39-138</t>
  </si>
  <si>
    <t>HN-39-140</t>
  </si>
  <si>
    <t>HN-43-164</t>
  </si>
  <si>
    <t>HN-86-73</t>
  </si>
  <si>
    <t>HN-26</t>
  </si>
  <si>
    <t>HN-2-1</t>
  </si>
  <si>
    <t>HN-39-133</t>
  </si>
  <si>
    <t>HN-40-113</t>
  </si>
  <si>
    <t>HN-39-127</t>
  </si>
  <si>
    <t>HN-100-38</t>
  </si>
  <si>
    <t>HN-40-111</t>
  </si>
  <si>
    <t>HN-43-34</t>
  </si>
  <si>
    <t>HN-77-54</t>
  </si>
  <si>
    <t>HN-43-173</t>
  </si>
  <si>
    <t>HN-44-125</t>
  </si>
  <si>
    <t>HN-4</t>
  </si>
  <si>
    <t>HN-102-74</t>
  </si>
  <si>
    <t>HN-44-37</t>
  </si>
  <si>
    <t>HN-102-169</t>
  </si>
  <si>
    <t>HN-81-166</t>
  </si>
  <si>
    <t>HN-35</t>
  </si>
  <si>
    <t>HN-21</t>
  </si>
  <si>
    <t>HN20</t>
  </si>
  <si>
    <t>HN-740</t>
  </si>
  <si>
    <t>G</t>
  </si>
  <si>
    <t>S-EMERALD</t>
  </si>
  <si>
    <t>VS2</t>
  </si>
  <si>
    <t>-</t>
  </si>
  <si>
    <t>EX</t>
  </si>
  <si>
    <t>NONE</t>
  </si>
  <si>
    <t>H</t>
  </si>
  <si>
    <t>S-CUSHION</t>
  </si>
  <si>
    <t>VS1</t>
  </si>
  <si>
    <t>RD</t>
  </si>
  <si>
    <t>F</t>
  </si>
  <si>
    <t>VVS2</t>
  </si>
  <si>
    <t>E</t>
  </si>
  <si>
    <t>SI1</t>
  </si>
  <si>
    <t>D</t>
  </si>
  <si>
    <t>VG</t>
  </si>
  <si>
    <t>VVS1</t>
  </si>
  <si>
    <t>SI2</t>
  </si>
  <si>
    <t>RADIANT</t>
  </si>
  <si>
    <t>I</t>
  </si>
  <si>
    <t>GD</t>
  </si>
  <si>
    <t>PRINCESS</t>
  </si>
  <si>
    <t>PEAR</t>
  </si>
  <si>
    <t>J</t>
  </si>
  <si>
    <t>OVAL</t>
  </si>
  <si>
    <t>MARQUISE</t>
  </si>
  <si>
    <t>HEART</t>
  </si>
  <si>
    <t>EMERALD</t>
  </si>
  <si>
    <t>BAGUETTE</t>
  </si>
  <si>
    <t>ASSCHER</t>
  </si>
  <si>
    <t>8.02 x 7.84 x 5.09</t>
  </si>
  <si>
    <t>7.56 x 7.20 x 4.80</t>
  </si>
  <si>
    <t>6.77 X 6.77 X 4.66</t>
  </si>
  <si>
    <t>6.78 X 6.60 X 4.25</t>
  </si>
  <si>
    <t>7.72 X 7.61 X 5.09</t>
  </si>
  <si>
    <t>9.38 - 9.42 x 5.58</t>
  </si>
  <si>
    <t>9.00 - 9.05 x 5.36</t>
  </si>
  <si>
    <t>8.72 - 8.74 x 5.18</t>
  </si>
  <si>
    <t>8.42 - 8.47 x 5.31</t>
  </si>
  <si>
    <t>8.41 - 8.44 x 5.32</t>
  </si>
  <si>
    <t>8.45 - 8.48 x 5.14</t>
  </si>
  <si>
    <t>8.48 - 8.53 x 5.09</t>
  </si>
  <si>
    <t>8.34 - 8.39 x 5.00</t>
  </si>
  <si>
    <t>8.22 - 8.26 X 5.13</t>
  </si>
  <si>
    <t>8.23 - 8.27 X 4.96</t>
  </si>
  <si>
    <t>8.20 - 8.25 x 4.87</t>
  </si>
  <si>
    <t>8.22 - 8.25 x 4.94</t>
  </si>
  <si>
    <t>8.06 - 8.09 x 4.90</t>
  </si>
  <si>
    <t>8.00 - 8.05 X 5.01</t>
  </si>
  <si>
    <t>7.91 - 7.93 x 4.83</t>
  </si>
  <si>
    <t>7.84 - 7.90 x 4.69</t>
  </si>
  <si>
    <t>7.64 - 7.67 x 4.57</t>
  </si>
  <si>
    <t>7.59 - 7.63 x 4.57</t>
  </si>
  <si>
    <t>7.49 - 7.53 x 4.65</t>
  </si>
  <si>
    <t>7.38 - 7.41 x 4.62</t>
  </si>
  <si>
    <t>7.44 - 7.46 x 4.49</t>
  </si>
  <si>
    <t>7.37 - 7.42 x 4.53</t>
  </si>
  <si>
    <t>7.38 - 7.41 x 4.46</t>
  </si>
  <si>
    <t>7.31 - 7.36 x 4.54</t>
  </si>
  <si>
    <t>7.05 - 7.10 x 4.39</t>
  </si>
  <si>
    <t xml:space="preserve">6.98 - 7.00 x 4.40 </t>
  </si>
  <si>
    <t>7.15 - 7.20 x 4.19</t>
  </si>
  <si>
    <t>6.99 - 7.01 x 4.33</t>
  </si>
  <si>
    <t>6.91 - 6.94 x 4.26</t>
  </si>
  <si>
    <t>6.89 - 6.93 x 4.29</t>
  </si>
  <si>
    <t>6.91 - 6.94 x 4.25</t>
  </si>
  <si>
    <t xml:space="preserve">6.89 - 6.92 x 4.19 </t>
  </si>
  <si>
    <t>6.87 - 6.91 x 4.23</t>
  </si>
  <si>
    <t>6.81 - 6.84 x 4.25</t>
  </si>
  <si>
    <t>6.81 - 6.84 x 4.24</t>
  </si>
  <si>
    <t>6.79 - 6.84 x 4.19</t>
  </si>
  <si>
    <t>6.76 - 6.80 x 4.23</t>
  </si>
  <si>
    <t>6.76 - 6.80 x 4.13</t>
  </si>
  <si>
    <t xml:space="preserve">6.83 - 6.86 x 4.04 </t>
  </si>
  <si>
    <t xml:space="preserve">6.82 - 6.86 x 4.08 </t>
  </si>
  <si>
    <t>6.72 - 6.74 X 4.17</t>
  </si>
  <si>
    <t>6.86 - 6.90 x 4.07</t>
  </si>
  <si>
    <t>6.77 - 6.79 x 4.11</t>
  </si>
  <si>
    <t>6.82 - 6.85 x 4.09</t>
  </si>
  <si>
    <t>6.76 - 6.80 x 4.09</t>
  </si>
  <si>
    <t>6.70 - 6.74 x 4.15</t>
  </si>
  <si>
    <t>6.66 - 6.70 x 4.13</t>
  </si>
  <si>
    <t>6.74 - 6.78 x 4.08</t>
  </si>
  <si>
    <t xml:space="preserve">6.61 - 6.64 x 4.20 </t>
  </si>
  <si>
    <t>6.74 - 6.76 x 4.05</t>
  </si>
  <si>
    <t>6.62 - 6.64 x 4.14</t>
  </si>
  <si>
    <t xml:space="preserve">6.66 - 6.69 x 4.09 </t>
  </si>
  <si>
    <t>6.68 - 6.73 x 4.06</t>
  </si>
  <si>
    <t>6.66 - 6.70 x 4.09</t>
  </si>
  <si>
    <t>6.66 - 6.70 x 3.99</t>
  </si>
  <si>
    <t>6.57 - 6.61 x 4.08</t>
  </si>
  <si>
    <t>6.65 - 6.67 x 4.00</t>
  </si>
  <si>
    <t xml:space="preserve">6.57 - 6.60 x 4.02 </t>
  </si>
  <si>
    <t>6.65 - 6.67 x 3.97</t>
  </si>
  <si>
    <t>6.60 - 6.65 x 3.99</t>
  </si>
  <si>
    <t>6.68 - 6.70 x 3.98</t>
  </si>
  <si>
    <t>6.57 - 6.60 x 3.96</t>
  </si>
  <si>
    <t>6.68 - 6.70 x 3.92</t>
  </si>
  <si>
    <t>6.62 - 6.66 x 3.93</t>
  </si>
  <si>
    <t>6.58 - 6.61 x 3.99</t>
  </si>
  <si>
    <t>6.39 - 6.42 x 4.06</t>
  </si>
  <si>
    <t xml:space="preserve">6.48 - 6.52 x 3.99 </t>
  </si>
  <si>
    <t xml:space="preserve">6.52 - 6.55 x 3.93 </t>
  </si>
  <si>
    <t>6.50 - 6.54 x 3.93</t>
  </si>
  <si>
    <t>6.53 - 6.54 x 3.91</t>
  </si>
  <si>
    <t>6.40 - 6.43 x 4.00</t>
  </si>
  <si>
    <t xml:space="preserve">6.46 - 6.50 x 3.95 </t>
  </si>
  <si>
    <t>6.41 - 6.45 x 3.95</t>
  </si>
  <si>
    <t>6.48 - 6.51 x 3.94</t>
  </si>
  <si>
    <t>6.46 - 6.50 x 3.92</t>
  </si>
  <si>
    <t xml:space="preserve">6.43 - 6.45 x 3.95 </t>
  </si>
  <si>
    <t xml:space="preserve">6.47 - 6.49 x 3.83 </t>
  </si>
  <si>
    <t>6.33 - 6.39 x 3.96</t>
  </si>
  <si>
    <t>6.34 - 6.38 x 3.98</t>
  </si>
  <si>
    <t>6.31 - 6.35 x 3.94</t>
  </si>
  <si>
    <t>6.31 - 6.34 x 3.99</t>
  </si>
  <si>
    <t>6.34 - 6.38 x 3.95</t>
  </si>
  <si>
    <t>6.38 - 6.42 x 3.98</t>
  </si>
  <si>
    <t>6.49 - 6.53 x 3.84</t>
  </si>
  <si>
    <t>6.35 - 6.37 x 3.96</t>
  </si>
  <si>
    <t>6.33 - 6.37 x 4.01</t>
  </si>
  <si>
    <t xml:space="preserve">6.14 - 6.17 x 3.88 </t>
  </si>
  <si>
    <t xml:space="preserve">6.22 - 6.25 x 3.72 </t>
  </si>
  <si>
    <t>9.81 x 7.16 x 4.58</t>
  </si>
  <si>
    <t>10.10 X 7.19 X 4.80</t>
  </si>
  <si>
    <t>7.82 x 7.75 x 4.93</t>
  </si>
  <si>
    <t>9.24 x 6.61 x 4.20</t>
  </si>
  <si>
    <t>8.73 x 6.28 x 4.22</t>
  </si>
  <si>
    <t>9.46 x 6.58 x 3.94</t>
  </si>
  <si>
    <t>8.80 x 6.21 x 4.13</t>
  </si>
  <si>
    <t>8.66 x 6.47 x 4.04</t>
  </si>
  <si>
    <t>8.68 x 6.25 x 4.04</t>
  </si>
  <si>
    <t>8.30 x 5.94 x 3.87</t>
  </si>
  <si>
    <t>8.12 X 5.80 X 3.91</t>
  </si>
  <si>
    <t>8.44 x 6.02 x 3.81</t>
  </si>
  <si>
    <t>8.24 x 5.83 x 3.87</t>
  </si>
  <si>
    <t>8.59 x 6.00 x 3.72</t>
  </si>
  <si>
    <t>8.33 x 5.89 x 3.82</t>
  </si>
  <si>
    <t>8.34 x 5.89 x 3.78</t>
  </si>
  <si>
    <t>8.07 x 5.76 x 3.91</t>
  </si>
  <si>
    <t>8.38 x 5.85 x 3.82</t>
  </si>
  <si>
    <t>8.06 x 5.72 x 3.76</t>
  </si>
  <si>
    <t>8.48 x 5.63 x 3.80</t>
  </si>
  <si>
    <t>8.15 x 5.79 x 3.84</t>
  </si>
  <si>
    <t>7.92 X 5.59 X 3.80</t>
  </si>
  <si>
    <t>8.07 x 5.67 x 3.83</t>
  </si>
  <si>
    <t>7.93 x 5.65 x 3.97</t>
  </si>
  <si>
    <t>8.06 x 5.75 x 3.87</t>
  </si>
  <si>
    <t>8.07 x 5.62 x 3.70</t>
  </si>
  <si>
    <t>7.98 x 5.69 x 3.72</t>
  </si>
  <si>
    <t xml:space="preserve">8.53 x 5.62 x 3.67 </t>
  </si>
  <si>
    <t>8.09 x 5.60 x 3.56</t>
  </si>
  <si>
    <t>7.63 x 5.61 x 3.54</t>
  </si>
  <si>
    <t>7.75 x 5.52 x 3.66</t>
  </si>
  <si>
    <t>7.83 x 5.49 x 3.50</t>
  </si>
  <si>
    <t>7.85 x 5.53 x 3.37</t>
  </si>
  <si>
    <t>7.67 x 5.39 x 3.42</t>
  </si>
  <si>
    <t>7.54 x 5.39 x 3.55</t>
  </si>
  <si>
    <t>7.56 x 5.29 x 3.58</t>
  </si>
  <si>
    <t>7.44 x 5.22 x 3.52</t>
  </si>
  <si>
    <t>7.29 x 5.36 x 3.46</t>
  </si>
  <si>
    <t>7.26 x 5.09 x 3.51</t>
  </si>
  <si>
    <t>7.00 x 5.00 x 3.50</t>
  </si>
  <si>
    <t>7.36 x 5.24 x 3.48</t>
  </si>
  <si>
    <t>7.63 x 5.36 x 3.38</t>
  </si>
  <si>
    <t>7.13 x 5.09 x 3.43</t>
  </si>
  <si>
    <t>7.35 x 5.25 x 3.36</t>
  </si>
  <si>
    <t>7.42 x 5.16 x 3.28</t>
  </si>
  <si>
    <t>7.25 x 5.11 x 3.48</t>
  </si>
  <si>
    <t>7.53 x 5.18 x 3.25</t>
  </si>
  <si>
    <t>7.14 x 5.03 x 3.35</t>
  </si>
  <si>
    <t>7.55 x 5.13 x 3.26</t>
  </si>
  <si>
    <t>6.97 x 4.93 x 3.47</t>
  </si>
  <si>
    <t>6.94 x 4.94 x 3.38</t>
  </si>
  <si>
    <t>7.10 x 5.07 x 3.35</t>
  </si>
  <si>
    <t>7.32 x 4.93 x 3.36</t>
  </si>
  <si>
    <t>7.04 x 4.87 x 3.34</t>
  </si>
  <si>
    <t>6.93 x 4.95 x 3.27</t>
  </si>
  <si>
    <t>6.83 x 5.09 x 3.43</t>
  </si>
  <si>
    <t>6.77 x 5.08 x 3.24</t>
  </si>
  <si>
    <t xml:space="preserve">6.99 x 4.98 x 3.28 </t>
  </si>
  <si>
    <t xml:space="preserve">7.18 x 4.99 x 3.32 </t>
  </si>
  <si>
    <t>7.07 x 4.98 x 3.24</t>
  </si>
  <si>
    <t>7.25 x 5.06 x 3.23</t>
  </si>
  <si>
    <t>6.50 X 4.94 X 3.39</t>
  </si>
  <si>
    <t>6.71 x 5.05 x 3.34</t>
  </si>
  <si>
    <t>6.86 x 4.88 x 3.38</t>
  </si>
  <si>
    <t>7.00 X 4.97 X 3.28</t>
  </si>
  <si>
    <t>6.99 x 4.99 x 3.21</t>
  </si>
  <si>
    <t>6.76 x 4.89 x 3.32</t>
  </si>
  <si>
    <t>6.92 x 4.92 x 3.25</t>
  </si>
  <si>
    <t>6.81 X 4.65 X 3.25</t>
  </si>
  <si>
    <t>6.36 X 4.94 X 2.91</t>
  </si>
  <si>
    <t>8.18 x 8.03 x 5.39</t>
  </si>
  <si>
    <t>7.68 x 7.46 x 5.26</t>
  </si>
  <si>
    <t>7.74 X 7.67 X 5.05</t>
  </si>
  <si>
    <t>7.29 x 7.20 x 4.98</t>
  </si>
  <si>
    <t>7.31 X 7.23 X 5.14</t>
  </si>
  <si>
    <t>7.41 X 7.00 X 4.89</t>
  </si>
  <si>
    <t>7.25 x 7.09 x 4.90</t>
  </si>
  <si>
    <t>7.33 x 6.92 x 4.77</t>
  </si>
  <si>
    <t>7.24 X 6.91 X 4.83</t>
  </si>
  <si>
    <t>7.25 X 7.21 X 4.76</t>
  </si>
  <si>
    <t>7.00 x 6.78 x 5.00</t>
  </si>
  <si>
    <t>7.01 x 6.96 x 4.55</t>
  </si>
  <si>
    <t>6.62 x 6.41 x 4.56</t>
  </si>
  <si>
    <t>6.56 X 6.39 X 4.32</t>
  </si>
  <si>
    <t>6.71 x 6.41 x 4.60</t>
  </si>
  <si>
    <t>6.45 x 6.30 x 4.53</t>
  </si>
  <si>
    <t>6.71 x 6.40 x 4.37</t>
  </si>
  <si>
    <t>6.47 x 6.47 x 4.53</t>
  </si>
  <si>
    <t>6.47 x 6.35 x 4.26</t>
  </si>
  <si>
    <t>6.34 x 6.13 x 4.41</t>
  </si>
  <si>
    <t>6.40 X 6.25 X 4.37</t>
  </si>
  <si>
    <t>6.35 X 6.16 X 4.16</t>
  </si>
  <si>
    <t>6.56 X 6.30 X 4.30</t>
  </si>
  <si>
    <t>6.15 x 6.10 x 4.43</t>
  </si>
  <si>
    <t>.</t>
  </si>
  <si>
    <t>6.15 X 6.02 X 4.20</t>
  </si>
  <si>
    <t>6.21 x 6.06 x 4.15</t>
  </si>
  <si>
    <t>5.93 x 5.92 x 4.26</t>
  </si>
  <si>
    <t>5.88 x 5.84 x 4.06</t>
  </si>
  <si>
    <t>5.96 x 5.92 x 4.03</t>
  </si>
  <si>
    <t>5.75 X 5.67 X 4.01</t>
  </si>
  <si>
    <t>5.69 x 5.64 x 3.77</t>
  </si>
  <si>
    <t>5.63 X 5.47 X 4.01</t>
  </si>
  <si>
    <t>5.73 x 5.48 x 4.01</t>
  </si>
  <si>
    <t>5.89 x 5.76 x 3.83</t>
  </si>
  <si>
    <t>5.75 x 5.65 x 3.78</t>
  </si>
  <si>
    <t>5.85 x 5.55 x 3.57</t>
  </si>
  <si>
    <t>5.41 X 5.28 X 3.83</t>
  </si>
  <si>
    <t>5.40 X 5.30 X 3.68</t>
  </si>
  <si>
    <t>11.59 x 7.31 x 4.30</t>
  </si>
  <si>
    <t>11.21 X 7.27 X 4.41</t>
  </si>
  <si>
    <t>11.10 x 7.19 x 4.30</t>
  </si>
  <si>
    <t>10.94 X 7.06 X 4.52</t>
  </si>
  <si>
    <t>10.61 X 6.88 X 3.86</t>
  </si>
  <si>
    <t>10.22 X 6.59 X 3.99</t>
  </si>
  <si>
    <t>9.89 x 6.27 x 4.08</t>
  </si>
  <si>
    <t>9.45 X 6.42 X 3.88</t>
  </si>
  <si>
    <t>10.71 x 6.19 x 3.58</t>
  </si>
  <si>
    <t>9.26 x 6.14 x 3.54</t>
  </si>
  <si>
    <t>9.33 x 6.00 x 3.55</t>
  </si>
  <si>
    <t>9.53 x 5.89 x 3.57</t>
  </si>
  <si>
    <t>8.89 x 5.91 x 3.64</t>
  </si>
  <si>
    <t xml:space="preserve">8.62 x 5.94 x 3.81 </t>
  </si>
  <si>
    <t>9.56 x 5.86 x 3.42</t>
  </si>
  <si>
    <t>8.80 x 5.76 x 3.63</t>
  </si>
  <si>
    <t>9.22 x 5.69 x 3.64</t>
  </si>
  <si>
    <t>9.04 x 5.77 x 3.49</t>
  </si>
  <si>
    <t>9.01 x 5.64 x 3.57</t>
  </si>
  <si>
    <t>9.01 x 5.65 x 3.44</t>
  </si>
  <si>
    <t>9.45 X 5.66 X 3.42</t>
  </si>
  <si>
    <t>9.15 x 5.63 x 3.45</t>
  </si>
  <si>
    <t>8.57 X 5.73 X 3.53</t>
  </si>
  <si>
    <t xml:space="preserve">8.02 x 5.67 x 3.70 </t>
  </si>
  <si>
    <t>9.16 x 5.73 x 3.42</t>
  </si>
  <si>
    <t>8.82 x 5.60 x 3.49</t>
  </si>
  <si>
    <t>9.28 x 5.75 x 3.35</t>
  </si>
  <si>
    <t>9.67 x 5.57 x 3.19</t>
  </si>
  <si>
    <t>9.08 x 5.64 x 3.27</t>
  </si>
  <si>
    <t>8.81 x 5.41 x 3.52</t>
  </si>
  <si>
    <t>9.58 x 5.56 x 3.20</t>
  </si>
  <si>
    <t>8.67 x 5.57 x 3.47</t>
  </si>
  <si>
    <t>8.57 x 5.72 x 3.47</t>
  </si>
  <si>
    <t>8.83 x 5.67 x 3.35</t>
  </si>
  <si>
    <t>8.27 X 5.52 X 3.50</t>
  </si>
  <si>
    <t>8.46 x 5.77 x 3.42</t>
  </si>
  <si>
    <t>8.49 x 5.43 x 3.43</t>
  </si>
  <si>
    <t>8.95 x 5.54 x 3.28</t>
  </si>
  <si>
    <t>8.69 x 5.32 x 3.26</t>
  </si>
  <si>
    <t>8.83 x 5.45 x 3.20</t>
  </si>
  <si>
    <t>7.98 X 5.30 X 3.37</t>
  </si>
  <si>
    <t>8.35 x 5.28 x 3.41</t>
  </si>
  <si>
    <t>8.54 x 5.17 x 3.28</t>
  </si>
  <si>
    <t>8.63 x 5.27 x 3.19</t>
  </si>
  <si>
    <t>8.43 x 5.22 x 3.27</t>
  </si>
  <si>
    <t>10.77 x 7.71 x 4.70</t>
  </si>
  <si>
    <t>10.56 x 7.46 x 4.57</t>
  </si>
  <si>
    <t>10.36 x 7.46 x 4.65</t>
  </si>
  <si>
    <t>10.25 x 7.34 x 4.56</t>
  </si>
  <si>
    <t>10.36 x 7.41 x 4.55</t>
  </si>
  <si>
    <t>9.28 x 6.51 x 4.14</t>
  </si>
  <si>
    <t>9.59 X 6.57 X 3.83</t>
  </si>
  <si>
    <t>9.58 x 6.42 x 3.89</t>
  </si>
  <si>
    <t>9.02 x 6.27 x 4.12</t>
  </si>
  <si>
    <t>8.92 x 6.00 x 3.59</t>
  </si>
  <si>
    <t>8.64 x 5.86 x 3.58</t>
  </si>
  <si>
    <t>8.58 x 5.88 x 3.59</t>
  </si>
  <si>
    <t>9.02 x 5.91 x 3.42</t>
  </si>
  <si>
    <t xml:space="preserve">8.72 x 5.79 x 3.54 </t>
  </si>
  <si>
    <t>8.30 x 5.95 x 3.66</t>
  </si>
  <si>
    <t>8.51 x 6.00 x 3.43</t>
  </si>
  <si>
    <t>8.72 x 5.79 x 3.45</t>
  </si>
  <si>
    <t>8.67 x 5.84 x 3.47</t>
  </si>
  <si>
    <t>8.30 x 5.85 x 3.44</t>
  </si>
  <si>
    <t xml:space="preserve">8.45 x 5.73 x 3.27 </t>
  </si>
  <si>
    <t>8.23 x 5.51 x 3.50</t>
  </si>
  <si>
    <t>8.22 x 5.74 x 3.52</t>
  </si>
  <si>
    <t>8.56 x 5.63 x 3.30</t>
  </si>
  <si>
    <t xml:space="preserve">8.36 x 5.50 x 3.27 </t>
  </si>
  <si>
    <t xml:space="preserve">8.43 x 5.55 x 3.27 </t>
  </si>
  <si>
    <t>8.17 x 5.64 x 3.43</t>
  </si>
  <si>
    <t>15.89 x 7.69 x 4.54</t>
  </si>
  <si>
    <t>13.33 X 6.71 X 3.94</t>
  </si>
  <si>
    <t>12.59 x 6.46 x 4.10</t>
  </si>
  <si>
    <t>12.01 x 6.70 x 3.96</t>
  </si>
  <si>
    <t>11.69 x 6.47 x 3.87</t>
  </si>
  <si>
    <t>11.68 X 5.82 X 3.64</t>
  </si>
  <si>
    <t>10.78 x 5.94 x 3.56</t>
  </si>
  <si>
    <t>11.92 x 5.95 x 3.44</t>
  </si>
  <si>
    <t>11.30 X 5.63 X 3.54</t>
  </si>
  <si>
    <t>11.00 x 5.78 x 3.64</t>
  </si>
  <si>
    <t>11.11 X 5.64 X 3.58</t>
  </si>
  <si>
    <t>11.59 x 5.77 x 3.40</t>
  </si>
  <si>
    <t>11.67 x 5.78 x 3.45</t>
  </si>
  <si>
    <t>9.96 x 5.78 x 3.73</t>
  </si>
  <si>
    <t>10.95 x 5.81 x 3.40</t>
  </si>
  <si>
    <t>11.31 x 5.76 x 3.40</t>
  </si>
  <si>
    <t>10.88 x 5.82 x 3.43</t>
  </si>
  <si>
    <t>12.24 x 5.56 x 3.23</t>
  </si>
  <si>
    <t>10.84 x 5.82 x 3.42</t>
  </si>
  <si>
    <t>11.08 x 5.51 x 3.48</t>
  </si>
  <si>
    <t>10.39 x 5.79 x 3.45</t>
  </si>
  <si>
    <t>11.34 x 5.63 x 3.28</t>
  </si>
  <si>
    <t>9.93 x 5.70 x 3.53</t>
  </si>
  <si>
    <t>11.10 x 5.49 x 3.30</t>
  </si>
  <si>
    <t>10.02 x 5.56 x 3.50</t>
  </si>
  <si>
    <t>11.48 x 5.56 x 3.23</t>
  </si>
  <si>
    <t>10.41 x 5.53 x 3.42</t>
  </si>
  <si>
    <t>10.47 x 5.52 x 3.43</t>
  </si>
  <si>
    <t>10.24 x 5.52 x 3.42</t>
  </si>
  <si>
    <t>11.13 x 5.56 x 3.17</t>
  </si>
  <si>
    <t>10.88 x 5.48 x 3.23</t>
  </si>
  <si>
    <t>10.94 x 5.26 x 3.14</t>
  </si>
  <si>
    <t>10.50 x 5.36 x 3.10</t>
  </si>
  <si>
    <t>9.36 x 5.26 x 3.34</t>
  </si>
  <si>
    <t>9.52 x 5.54 x 3.41</t>
  </si>
  <si>
    <t>9.90 x 5.32 x 3.29</t>
  </si>
  <si>
    <t>9.13 x 10.02 x 6.08</t>
  </si>
  <si>
    <t>7.45 x 8.81 x 5.19</t>
  </si>
  <si>
    <t>6.48 x 6.93 x 4.26</t>
  </si>
  <si>
    <t>5.81 x 6.97 x 4.18</t>
  </si>
  <si>
    <t>9.51 x 6.72 x 4.64</t>
  </si>
  <si>
    <t>9.48 X 6.77 X 4.59</t>
  </si>
  <si>
    <t>9.81 x 6.81 x 4.51</t>
  </si>
  <si>
    <t>9.09 x 6.72 x 4.68</t>
  </si>
  <si>
    <t>9.36 x 6.78 x 4.46</t>
  </si>
  <si>
    <t>9.44 x 6.80 x 4.85</t>
  </si>
  <si>
    <t>9.16 X 6.50 X 4.38</t>
  </si>
  <si>
    <t>8.69 x 6.46 x 4.52</t>
  </si>
  <si>
    <t>9.39 x 6.45 x 4.14</t>
  </si>
  <si>
    <t>9.00 x 6.20 x 4.31</t>
  </si>
  <si>
    <t>8.89 X 6.30 X 4.26</t>
  </si>
  <si>
    <t>9.24 x 6.39 x 3.92</t>
  </si>
  <si>
    <t>8.58 x 6.22 x 4.43</t>
  </si>
  <si>
    <t>9.21 x 6.35 x 3.95</t>
  </si>
  <si>
    <t>9.33 x 6.17 x 3.78</t>
  </si>
  <si>
    <t>8.54 x 6.09 x 4.26</t>
  </si>
  <si>
    <t>8.51 X 6.03 X 4.18</t>
  </si>
  <si>
    <t>8.48 X 6.12 X 4.18</t>
  </si>
  <si>
    <t>8.53 x 6.04 x 4.09</t>
  </si>
  <si>
    <t>8.41 x 6.00 x 4.23</t>
  </si>
  <si>
    <t>9.27 x 6.03 x 3.69</t>
  </si>
  <si>
    <t>8.51 X 6.17 X 4.14</t>
  </si>
  <si>
    <t>8.38 X 5.98 X 4.07</t>
  </si>
  <si>
    <t>8.73 X 5.80 X 3.98</t>
  </si>
  <si>
    <t>8.56 X 5.95 X 4.02</t>
  </si>
  <si>
    <t>8.60 X 5.82 X 4.00</t>
  </si>
  <si>
    <t>8.38 x 6.05 x 4.02</t>
  </si>
  <si>
    <t>8.42 x 6.04 x 3.89</t>
  </si>
  <si>
    <t>8.65 X 5.98 X 3.90</t>
  </si>
  <si>
    <t>8.50 X 5.75 X 3.95</t>
  </si>
  <si>
    <t>8.69 x 6.01 x 3.67</t>
  </si>
  <si>
    <t>8.00 x 5.85 x 3.83</t>
  </si>
  <si>
    <t>8.16 x 5.81 x 3.80</t>
  </si>
  <si>
    <t>8.02 x 5.73 x 3.88</t>
  </si>
  <si>
    <t>8.02 x 5.73 x 3.97</t>
  </si>
  <si>
    <t>8.33 x 5.43 x 3.72</t>
  </si>
  <si>
    <t>8.33 x 5.64 x 3.61</t>
  </si>
  <si>
    <t>8.09 x 5.77 x 3.75</t>
  </si>
  <si>
    <t>7.90 X 5.48 X 3.95</t>
  </si>
  <si>
    <t>8.05 x 5.65 x 3.76</t>
  </si>
  <si>
    <t>8.20 X 5.59 X 3.80</t>
  </si>
  <si>
    <t>8.20 X 5.51 X 3.80</t>
  </si>
  <si>
    <t>8.11 x 5.64 x 3.58</t>
  </si>
  <si>
    <t>8.34 x 5.57 x 3.75</t>
  </si>
  <si>
    <t>7.97 x 5.68 x 3.60</t>
  </si>
  <si>
    <t>7.72 X 5.49 X 3.82</t>
  </si>
  <si>
    <t>7.68 x 5.48 x 3.76</t>
  </si>
  <si>
    <t>7.86 x 5.62 x 3.43</t>
  </si>
  <si>
    <t>7.96 x 5.43 x 3.76</t>
  </si>
  <si>
    <t>7.93 x 5.60 x 3.44</t>
  </si>
  <si>
    <t>8.08 X 5.35 X 3.63</t>
  </si>
  <si>
    <t>7.79 X 5.36 X 3.57</t>
  </si>
  <si>
    <t>8.18 X 5.32 X 3.49</t>
  </si>
  <si>
    <t>8.01 x 5.49 x 3.32</t>
  </si>
  <si>
    <t>8.00 X 5.25 X 3.58</t>
  </si>
  <si>
    <t>7.66 x 5.34 x 3.65</t>
  </si>
  <si>
    <t>7.75 X 5.34 X 3.62</t>
  </si>
  <si>
    <t>8.08 x 5.36 x 3.50</t>
  </si>
  <si>
    <t>7.96 x 5.29 x 3.37</t>
  </si>
  <si>
    <t>7.72 x 5.36 x 3.63</t>
  </si>
  <si>
    <t>8.07 X 5.34 X 3.46</t>
  </si>
  <si>
    <t>7.43 x 5.46 x 3.74</t>
  </si>
  <si>
    <t>7.77 x 5.39 x 3.24</t>
  </si>
  <si>
    <t>7.41 x 5.45 x 3.61</t>
  </si>
  <si>
    <t>7.64 X 5.28 X 3.45</t>
  </si>
  <si>
    <t>7.74 x 5.19 x 3.48</t>
  </si>
  <si>
    <t>7.70 x 5.24 x 3.57</t>
  </si>
  <si>
    <t>7.72 x 5.40 x 3.36</t>
  </si>
  <si>
    <t>7.45 x 5.10 x 3.64</t>
  </si>
  <si>
    <t>7.82 x 5.12 x 3.38</t>
  </si>
  <si>
    <t>7.69 x 5.09 x 3.47</t>
  </si>
  <si>
    <t>7.34 x 5.15 x 3.47</t>
  </si>
  <si>
    <t>7.22 x 5.16 x 3.28</t>
  </si>
  <si>
    <t>7.65 x 5.16 x 3.26</t>
  </si>
  <si>
    <t>7.45 X 5.16 X 3.55</t>
  </si>
  <si>
    <t>7.54 x 5.06 x 3.33</t>
  </si>
  <si>
    <t>7.55 x 5.00 x 3.41</t>
  </si>
  <si>
    <t>7.42 x 5.08 x 3.50</t>
  </si>
  <si>
    <t>7.03 x 5.12 x 3.51</t>
  </si>
  <si>
    <t>7.24 x 5.03 x 3.46</t>
  </si>
  <si>
    <t>7.22 x 4.95 x 3.42</t>
  </si>
  <si>
    <t>7.34 X 4.94 X 3.43</t>
  </si>
  <si>
    <t>7.60 x 5.05 x 3.20</t>
  </si>
  <si>
    <t>7.36 x 5.09 x 3.14</t>
  </si>
  <si>
    <t>6.78 x 5.04 x 3.44</t>
  </si>
  <si>
    <t>7.30 x 4.75 x 3.28</t>
  </si>
  <si>
    <t>7.27 X 4.85 X 3.42</t>
  </si>
  <si>
    <t>7.27 x 5.02 x 3.30</t>
  </si>
  <si>
    <t>7.35 x 4.92 x 3.11</t>
  </si>
  <si>
    <t>7.09 x 4.73 x 3.40</t>
  </si>
  <si>
    <t>7.34 X 4.97 X 3.22</t>
  </si>
  <si>
    <t>7.14 x 4.97 x 3.12</t>
  </si>
  <si>
    <t>6.97 x 4.82 x 3.31</t>
  </si>
  <si>
    <t>7.20 x 4.99 x 3.20</t>
  </si>
  <si>
    <t>7.24 x 4.76 x 3.08</t>
  </si>
  <si>
    <t>7.11 x 4.72 x 3.23</t>
  </si>
  <si>
    <t>6.98 x 4.82 x 3.25</t>
  </si>
  <si>
    <t>7.11 x 4.95 x 3.12</t>
  </si>
  <si>
    <t>7.44 x 4.75 x 3.11</t>
  </si>
  <si>
    <t>7.16 x 4.78 x 3.21</t>
  </si>
  <si>
    <t>7.00 x 4.87 x 3.39</t>
  </si>
  <si>
    <t>7.10 x 4.96 x 3.01</t>
  </si>
  <si>
    <t>7.16 X 4.65 X 3.34</t>
  </si>
  <si>
    <t>7.04 x 4.78 x 3.06</t>
  </si>
  <si>
    <t>6.98 x 4.98 x 3.06</t>
  </si>
  <si>
    <t>6.83 x 4.70 x 3.11</t>
  </si>
  <si>
    <t>6.80 x 4.62 x 3.17</t>
  </si>
  <si>
    <t>6.64 x 4.96 x 3.11</t>
  </si>
  <si>
    <t>6.61 x 4.72 x 3.28</t>
  </si>
  <si>
    <t>6.87 x 4.88 x 3.22</t>
  </si>
  <si>
    <t>6.82 x 4.65 x 3.18</t>
  </si>
  <si>
    <t>6.47 x 4.76 x 3.44</t>
  </si>
  <si>
    <t>7.15 x 4.74 x 3.11</t>
  </si>
  <si>
    <t>6.50 x 4.81 x 3.28</t>
  </si>
  <si>
    <t>6.80 x 4.96 x 3.13</t>
  </si>
  <si>
    <t>6.60 x 4.78 x 3.25</t>
  </si>
  <si>
    <t>6.69 x 4.80 x 3.25</t>
  </si>
  <si>
    <t xml:space="preserve">6.69 x 4.75 x 3.18 </t>
  </si>
  <si>
    <t>6.86 x 4.73 x 3.31</t>
  </si>
  <si>
    <t>6.89 x 4.64 x 3.09</t>
  </si>
  <si>
    <t>7.04 x 4.69 x 3.14</t>
  </si>
  <si>
    <t>7.05 x 4.57 x 3.10</t>
  </si>
  <si>
    <t>6.77 x 4.69 x 3.04</t>
  </si>
  <si>
    <t>7.13 x 4.69 x 2.91</t>
  </si>
  <si>
    <t>6.99 x 4.72 x 3.05</t>
  </si>
  <si>
    <t>6.94 x 4.54 x 3.23</t>
  </si>
  <si>
    <t>6.78 x 4.84 x 3.08</t>
  </si>
  <si>
    <t>6.59 x 4.81 x 3.12</t>
  </si>
  <si>
    <t>7.07 x 4.70 x 2.95</t>
  </si>
  <si>
    <t>6.61 x 4.79 x 2.87</t>
  </si>
  <si>
    <t>6.39 x 4.70 x 3.21</t>
  </si>
  <si>
    <t>6.58 x 4.73 x 3.15</t>
  </si>
  <si>
    <t>6.73 x 4.64 x 3.04</t>
  </si>
  <si>
    <t>7.04 x 4.69 x 3.09</t>
  </si>
  <si>
    <t>6.84 x 4.87 x 3.05</t>
  </si>
  <si>
    <t>6.76 x 4.60 x 3.19</t>
  </si>
  <si>
    <t>6.81 x 4.74 x 3.02</t>
  </si>
  <si>
    <t>6.80 x 4.61 x 2.95</t>
  </si>
  <si>
    <t>6.51 x 4.59 x 3.21</t>
  </si>
  <si>
    <t>6.86 x 4.71 x 3.08</t>
  </si>
  <si>
    <t>6.71 x 4.57 x 2.89</t>
  </si>
  <si>
    <t>6.73 x 4.53 x 3.13</t>
  </si>
  <si>
    <t>6.18 x 4.68 x 3.17</t>
  </si>
  <si>
    <t>6.28 x 4.67 x 3.29</t>
  </si>
  <si>
    <t>6.57 X 4.52 X 3.17</t>
  </si>
  <si>
    <t>6.36 X 4.55 X 3.22</t>
  </si>
  <si>
    <t>6.31 X 4.51 X 3.12</t>
  </si>
  <si>
    <t>6.64 X 4.56 X 2.81</t>
  </si>
  <si>
    <t>6.53 X 4.52 X 2.92</t>
  </si>
  <si>
    <t>6.50 X 4.57 X 2.87</t>
  </si>
  <si>
    <t>6.98 X 4.78 X 2.82</t>
  </si>
  <si>
    <t>6.21 X 4.45 X 3.11</t>
  </si>
  <si>
    <t>6.41 X 4.58 X 3.07</t>
  </si>
  <si>
    <t>6.32 X 4.43 X 3.00</t>
  </si>
  <si>
    <t>6.43 X 4.60 X 2.81</t>
  </si>
  <si>
    <t>6.19 X 4.66 X 2.97</t>
  </si>
  <si>
    <t>6.40 X 4.37 X 2.75</t>
  </si>
  <si>
    <t>7.95 x 3.97 x 2.81</t>
  </si>
  <si>
    <t>6.75 x 6.57 x 4.46</t>
  </si>
  <si>
    <t>5.91 x 5.65 x 3.50</t>
  </si>
  <si>
    <t>5.39 x 5.37 x 3.76</t>
  </si>
  <si>
    <t>IGI</t>
  </si>
  <si>
    <t>fancy vivid</t>
  </si>
  <si>
    <t>blue</t>
  </si>
  <si>
    <t>fancy intense</t>
  </si>
  <si>
    <t>greenish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</si>
</sst>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charset val="134"/>
      <scheme val="minor"/>
    </font>
    <font>
      <u/>
      <sz val="11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2"/>
      <color rgb="FF0563C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0" fontId="4" fillId="0" borderId="3" xfId="1" applyFont="1" applyFill="1" applyBorder="1" applyAlignment="1">
      <alignment horizontal="left" vertical="center"/>
    </xf>
    <xf numFmtId="0" fontId="4" fillId="0" borderId="4" xfId="1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75"/>
  <sheetViews>
    <sheetView tabSelected="1" topLeftCell="A255" zoomScale="70" zoomScaleNormal="70" workbookViewId="0">
      <selection activeCell="E315" sqref="E315"/>
    </sheetView>
  </sheetViews>
  <sheetFormatPr baseColWidth="10" defaultColWidth="9.1640625" defaultRowHeight="15" x14ac:dyDescent="0.2"/>
  <cols>
    <col min="12" max="12" width="15.5" customWidth="1"/>
    <col min="14" max="14" width="10.1640625" customWidth="1"/>
    <col min="16" max="16" width="15" customWidth="1"/>
    <col min="17" max="17" width="11" customWidth="1"/>
    <col min="18" max="18" width="11.83203125" customWidth="1"/>
    <col min="19" max="19" width="11" customWidth="1"/>
    <col min="20" max="20" width="11.5" customWidth="1"/>
    <col min="21" max="21" width="26.83203125" customWidth="1"/>
    <col min="22" max="22" width="20.1640625" style="1" customWidth="1"/>
    <col min="23" max="23" width="21.5" style="1" customWidth="1"/>
  </cols>
  <sheetData>
    <row r="1" spans="1:62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3" t="s">
        <v>21</v>
      </c>
      <c r="W1" s="3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</row>
    <row r="2" spans="1:62" ht="16" x14ac:dyDescent="0.2">
      <c r="A2" s="4" t="s">
        <v>62</v>
      </c>
      <c r="B2" s="7" t="s">
        <v>536</v>
      </c>
      <c r="C2" s="4" t="s">
        <v>537</v>
      </c>
      <c r="D2" s="8">
        <v>3.01</v>
      </c>
      <c r="E2" s="9" t="s">
        <v>536</v>
      </c>
      <c r="F2" s="4" t="s">
        <v>538</v>
      </c>
      <c r="G2" s="4" t="s">
        <v>539</v>
      </c>
      <c r="H2" s="4" t="s">
        <v>540</v>
      </c>
      <c r="I2" s="4" t="s">
        <v>540</v>
      </c>
      <c r="J2" s="4" t="s">
        <v>541</v>
      </c>
      <c r="L2" s="4" t="s">
        <v>566</v>
      </c>
      <c r="O2" s="4" t="s">
        <v>1040</v>
      </c>
      <c r="P2" s="4">
        <v>553259923</v>
      </c>
      <c r="R2" s="4">
        <v>20500</v>
      </c>
      <c r="S2">
        <f>R2*D2</f>
        <v>61704.999999999993</v>
      </c>
      <c r="T2" s="7">
        <v>-96</v>
      </c>
      <c r="U2">
        <f>(R2+(R2*T2)/100)*D2</f>
        <v>2468.1999999999998</v>
      </c>
      <c r="V2" s="15">
        <v>0.64900000000000002</v>
      </c>
      <c r="W2" s="16">
        <v>0.64</v>
      </c>
      <c r="BB2" s="20" t="str">
        <f>HYPERLINK("https://v360.in/diamondview.aspx?cid=preet&amp;d=HN-128-03","https://v360.in/diamondview.aspx?cid=preet&amp;d=HN-128-03")</f>
        <v>https://v360.in/diamondview.aspx?cid=preet&amp;d=HN-128-03</v>
      </c>
    </row>
    <row r="3" spans="1:62" ht="16" x14ac:dyDescent="0.2">
      <c r="A3" s="4" t="s">
        <v>63</v>
      </c>
      <c r="B3" s="7" t="s">
        <v>536</v>
      </c>
      <c r="C3" s="4" t="s">
        <v>537</v>
      </c>
      <c r="D3" s="8">
        <v>2.64</v>
      </c>
      <c r="E3" s="9" t="s">
        <v>542</v>
      </c>
      <c r="F3" s="4" t="s">
        <v>538</v>
      </c>
      <c r="G3" s="4" t="s">
        <v>539</v>
      </c>
      <c r="H3" s="4" t="s">
        <v>540</v>
      </c>
      <c r="I3" s="4" t="s">
        <v>540</v>
      </c>
      <c r="J3" s="4" t="s">
        <v>541</v>
      </c>
      <c r="L3" s="4" t="s">
        <v>567</v>
      </c>
      <c r="O3" s="4" t="s">
        <v>1040</v>
      </c>
      <c r="P3" s="4">
        <v>553259831</v>
      </c>
      <c r="R3" s="4">
        <v>12000</v>
      </c>
      <c r="S3">
        <f t="shared" ref="S3:S66" si="0">R3*D3</f>
        <v>31680</v>
      </c>
      <c r="T3" s="7">
        <v>-96</v>
      </c>
      <c r="U3">
        <f t="shared" ref="U3:U66" si="1">(R3+(R3*T3)/100)*D3</f>
        <v>1267.2</v>
      </c>
      <c r="V3" s="15">
        <v>0.66700000000000004</v>
      </c>
      <c r="W3" s="16">
        <v>0.63</v>
      </c>
      <c r="BB3" s="20" t="str">
        <f>HYPERLINK("https://v360.in/diamondview.aspx?cid=preet&amp;d=HN-128-07","https://v360.in/diamondview.aspx?cid=preet&amp;d=HN-128-07")</f>
        <v>https://v360.in/diamondview.aspx?cid=preet&amp;d=HN-128-07</v>
      </c>
    </row>
    <row r="4" spans="1:62" ht="16" x14ac:dyDescent="0.2">
      <c r="A4" s="4" t="s">
        <v>64</v>
      </c>
      <c r="B4" s="7" t="s">
        <v>536</v>
      </c>
      <c r="C4" s="4" t="s">
        <v>537</v>
      </c>
      <c r="D4" s="8">
        <v>2.0099999999999998</v>
      </c>
      <c r="E4" s="9" t="s">
        <v>542</v>
      </c>
      <c r="F4" s="4" t="s">
        <v>538</v>
      </c>
      <c r="G4" s="4" t="s">
        <v>539</v>
      </c>
      <c r="H4" s="4" t="s">
        <v>540</v>
      </c>
      <c r="I4" s="4" t="s">
        <v>540</v>
      </c>
      <c r="J4" s="4" t="s">
        <v>541</v>
      </c>
      <c r="L4" s="4" t="s">
        <v>568</v>
      </c>
      <c r="O4" s="4" t="s">
        <v>1040</v>
      </c>
      <c r="P4" s="4">
        <v>550231419</v>
      </c>
      <c r="R4" s="4">
        <v>12000</v>
      </c>
      <c r="S4">
        <f t="shared" si="0"/>
        <v>24119.999999999996</v>
      </c>
      <c r="T4" s="7">
        <v>-96</v>
      </c>
      <c r="U4">
        <f t="shared" si="1"/>
        <v>964.8</v>
      </c>
      <c r="V4" s="4">
        <v>68</v>
      </c>
      <c r="W4" s="4">
        <v>75</v>
      </c>
      <c r="BB4" s="20" t="str">
        <f>HYPERLINK("https://v360.in/diamondview.aspx?cid=preet&amp;d=HN-97-50","https://v360.in/diamondview.aspx?cid=preet&amp;d=HN-97-50")</f>
        <v>https://v360.in/diamondview.aspx?cid=preet&amp;d=HN-97-50</v>
      </c>
    </row>
    <row r="5" spans="1:62" ht="16" x14ac:dyDescent="0.2">
      <c r="A5" s="4" t="s">
        <v>65</v>
      </c>
      <c r="B5" s="7" t="s">
        <v>536</v>
      </c>
      <c r="C5" s="4" t="s">
        <v>537</v>
      </c>
      <c r="D5" s="8">
        <v>1.81</v>
      </c>
      <c r="E5" s="9" t="s">
        <v>542</v>
      </c>
      <c r="F5" s="4" t="s">
        <v>538</v>
      </c>
      <c r="G5" s="4" t="s">
        <v>539</v>
      </c>
      <c r="H5" s="4" t="s">
        <v>540</v>
      </c>
      <c r="I5" s="4" t="s">
        <v>540</v>
      </c>
      <c r="J5" s="4" t="s">
        <v>541</v>
      </c>
      <c r="L5" s="4" t="s">
        <v>569</v>
      </c>
      <c r="O5" s="4" t="s">
        <v>1040</v>
      </c>
      <c r="P5" s="4">
        <v>550231418</v>
      </c>
      <c r="R5" s="4">
        <v>8800</v>
      </c>
      <c r="S5">
        <f t="shared" si="0"/>
        <v>15928</v>
      </c>
      <c r="T5" s="7">
        <v>-96</v>
      </c>
      <c r="U5">
        <f t="shared" si="1"/>
        <v>637.12</v>
      </c>
      <c r="V5" s="4">
        <v>64.400000000000006</v>
      </c>
      <c r="W5" s="4">
        <v>62</v>
      </c>
      <c r="BB5" s="20" t="str">
        <f>HYPERLINK("https://v360.in/diamondview.aspx?cid=preet&amp;d=HN-97-49","https://v360.in/diamondview.aspx?cid=preet&amp;d=HN-97-49")</f>
        <v>https://v360.in/diamondview.aspx?cid=preet&amp;d=HN-97-49</v>
      </c>
    </row>
    <row r="6" spans="1:62" ht="16" x14ac:dyDescent="0.2">
      <c r="A6" s="4" t="s">
        <v>66</v>
      </c>
      <c r="B6" s="7" t="s">
        <v>536</v>
      </c>
      <c r="C6" s="4" t="s">
        <v>543</v>
      </c>
      <c r="D6" s="8">
        <v>2.41</v>
      </c>
      <c r="E6" s="9" t="s">
        <v>542</v>
      </c>
      <c r="F6" s="4" t="s">
        <v>544</v>
      </c>
      <c r="G6" s="4" t="s">
        <v>539</v>
      </c>
      <c r="H6" s="4" t="s">
        <v>540</v>
      </c>
      <c r="I6" s="4" t="s">
        <v>540</v>
      </c>
      <c r="J6" s="4" t="s">
        <v>541</v>
      </c>
      <c r="L6" s="4" t="s">
        <v>570</v>
      </c>
      <c r="O6" s="4" t="s">
        <v>1040</v>
      </c>
      <c r="P6" s="4">
        <v>547256648</v>
      </c>
      <c r="R6" s="4">
        <v>13000</v>
      </c>
      <c r="S6">
        <f t="shared" si="0"/>
        <v>31330.000000000004</v>
      </c>
      <c r="T6" s="7">
        <v>-96</v>
      </c>
      <c r="U6">
        <f t="shared" si="1"/>
        <v>1253.2</v>
      </c>
      <c r="V6" s="4">
        <v>66.900000000000006</v>
      </c>
      <c r="W6" s="4">
        <v>68.5</v>
      </c>
      <c r="BB6" s="20" t="str">
        <f>HYPERLINK("https://v360.in/diamondview.aspx?cid=meet&amp;d=HN-87-2","https://v360.in/diamondview.aspx?cid=meet&amp;d=HN-87-2")</f>
        <v>https://v360.in/diamondview.aspx?cid=meet&amp;d=HN-87-2</v>
      </c>
    </row>
    <row r="7" spans="1:62" ht="16" x14ac:dyDescent="0.2">
      <c r="A7" s="4" t="s">
        <v>67</v>
      </c>
      <c r="B7" s="7" t="s">
        <v>536</v>
      </c>
      <c r="C7" s="4" t="s">
        <v>545</v>
      </c>
      <c r="D7" s="8">
        <v>3.05</v>
      </c>
      <c r="E7" s="10"/>
      <c r="F7" s="4" t="s">
        <v>538</v>
      </c>
      <c r="G7" s="4" t="s">
        <v>540</v>
      </c>
      <c r="H7" s="4" t="s">
        <v>540</v>
      </c>
      <c r="I7" s="4" t="s">
        <v>540</v>
      </c>
      <c r="J7" s="4" t="s">
        <v>541</v>
      </c>
      <c r="L7" s="4" t="s">
        <v>571</v>
      </c>
      <c r="O7" s="4" t="s">
        <v>1040</v>
      </c>
      <c r="P7" s="4">
        <v>586339656</v>
      </c>
      <c r="R7" s="4">
        <v>2000</v>
      </c>
      <c r="S7">
        <f t="shared" si="0"/>
        <v>6100</v>
      </c>
      <c r="T7" s="7">
        <v>-96</v>
      </c>
      <c r="U7">
        <f t="shared" si="1"/>
        <v>244</v>
      </c>
      <c r="V7" s="15">
        <v>0.59399999999999997</v>
      </c>
      <c r="W7" s="16">
        <v>0.6</v>
      </c>
      <c r="AR7" t="s">
        <v>1042</v>
      </c>
      <c r="AS7" t="s">
        <v>1041</v>
      </c>
      <c r="BB7" s="20" t="str">
        <f>HYPERLINK("https://view.gem360.in/gem360/1107231028-HN-178-2/gem360-1107231028-HN-178-2.html","https://view.gem360.in/gem360/1107231028-HN-178-2/gem360-1107231028-HN-178-2.html")</f>
        <v>https://view.gem360.in/gem360/1107231028-HN-178-2/gem360-1107231028-HN-178-2.html</v>
      </c>
    </row>
    <row r="8" spans="1:62" ht="16" x14ac:dyDescent="0.2">
      <c r="A8" s="4" t="s">
        <v>68</v>
      </c>
      <c r="B8" s="7" t="s">
        <v>536</v>
      </c>
      <c r="C8" s="4" t="s">
        <v>545</v>
      </c>
      <c r="D8" s="8">
        <v>2.72</v>
      </c>
      <c r="E8" s="9" t="s">
        <v>536</v>
      </c>
      <c r="F8" s="4" t="s">
        <v>544</v>
      </c>
      <c r="G8" s="4" t="s">
        <v>540</v>
      </c>
      <c r="H8" s="4" t="s">
        <v>540</v>
      </c>
      <c r="I8" s="4" t="s">
        <v>540</v>
      </c>
      <c r="J8" s="4" t="s">
        <v>541</v>
      </c>
      <c r="L8" s="4" t="s">
        <v>572</v>
      </c>
      <c r="O8" s="4" t="s">
        <v>1040</v>
      </c>
      <c r="P8" s="4">
        <v>570376221</v>
      </c>
      <c r="R8" s="4">
        <v>17500</v>
      </c>
      <c r="S8">
        <f t="shared" si="0"/>
        <v>47600</v>
      </c>
      <c r="T8" s="7">
        <v>-96</v>
      </c>
      <c r="U8">
        <f t="shared" si="1"/>
        <v>1904.0000000000002</v>
      </c>
      <c r="V8" s="15">
        <v>0.59299999999999997</v>
      </c>
      <c r="W8" s="15">
        <v>0.625</v>
      </c>
      <c r="BB8" s="20" t="str">
        <f>HYPERLINK("https://v360.in/diamondview.aspx?cid=preet&amp;d=HN-142-108","https://v360.in/diamondview.aspx?cid=preet&amp;d=HN-142-108")</f>
        <v>https://v360.in/diamondview.aspx?cid=preet&amp;d=HN-142-108</v>
      </c>
    </row>
    <row r="9" spans="1:62" ht="16" x14ac:dyDescent="0.2">
      <c r="A9" s="4" t="s">
        <v>69</v>
      </c>
      <c r="B9" s="7" t="s">
        <v>536</v>
      </c>
      <c r="C9" s="4" t="s">
        <v>545</v>
      </c>
      <c r="D9" s="8">
        <v>2.4500000000000002</v>
      </c>
      <c r="E9" s="9" t="s">
        <v>542</v>
      </c>
      <c r="F9" s="4" t="s">
        <v>544</v>
      </c>
      <c r="G9" s="4" t="s">
        <v>540</v>
      </c>
      <c r="H9" s="4" t="s">
        <v>540</v>
      </c>
      <c r="I9" s="4" t="s">
        <v>540</v>
      </c>
      <c r="J9" s="4" t="s">
        <v>541</v>
      </c>
      <c r="L9" s="4" t="s">
        <v>573</v>
      </c>
      <c r="O9" s="4" t="s">
        <v>1040</v>
      </c>
      <c r="P9" s="4">
        <v>577380411</v>
      </c>
      <c r="R9" s="4">
        <v>15000</v>
      </c>
      <c r="S9">
        <f t="shared" si="0"/>
        <v>36750</v>
      </c>
      <c r="T9" s="7">
        <v>-96</v>
      </c>
      <c r="U9">
        <f t="shared" si="1"/>
        <v>1470</v>
      </c>
      <c r="V9" s="15">
        <v>0.59299999999999997</v>
      </c>
      <c r="W9" s="16">
        <v>0.59</v>
      </c>
      <c r="BB9" s="20" t="str">
        <f>HYPERLINK("https://view.gem360.in/gem360/2504230545-HN-164-27/gem360-2504230545-HN-164-27.html","https://view.gem360.in/gem360/2504230545-HN-164-27/gem360-2504230545-HN-164-27.html")</f>
        <v>https://view.gem360.in/gem360/2504230545-HN-164-27/gem360-2504230545-HN-164-27.html</v>
      </c>
    </row>
    <row r="10" spans="1:62" ht="16" x14ac:dyDescent="0.2">
      <c r="A10" s="4" t="s">
        <v>70</v>
      </c>
      <c r="B10" s="7" t="s">
        <v>536</v>
      </c>
      <c r="C10" s="4" t="s">
        <v>545</v>
      </c>
      <c r="D10" s="8">
        <v>2.36</v>
      </c>
      <c r="E10" s="9" t="s">
        <v>536</v>
      </c>
      <c r="F10" s="4" t="s">
        <v>544</v>
      </c>
      <c r="G10" s="4" t="s">
        <v>540</v>
      </c>
      <c r="H10" s="4" t="s">
        <v>540</v>
      </c>
      <c r="I10" s="4" t="s">
        <v>540</v>
      </c>
      <c r="J10" s="4" t="s">
        <v>541</v>
      </c>
      <c r="L10" s="4" t="s">
        <v>574</v>
      </c>
      <c r="O10" s="4" t="s">
        <v>1040</v>
      </c>
      <c r="P10" s="4">
        <v>520208297</v>
      </c>
      <c r="R10" s="4">
        <v>17500</v>
      </c>
      <c r="S10">
        <f t="shared" si="0"/>
        <v>41300</v>
      </c>
      <c r="T10" s="7">
        <v>-96</v>
      </c>
      <c r="U10">
        <f t="shared" si="1"/>
        <v>1652</v>
      </c>
      <c r="V10" s="15">
        <v>0.628</v>
      </c>
      <c r="W10" s="15">
        <v>0.54500000000000004</v>
      </c>
      <c r="BB10" s="20" t="str">
        <f>HYPERLINK("https://view.gem360.in/gem360/0304230713-HN-52-41/gem360-0304230713-HN-52-41.html","https://view.gem360.in/gem360/0304230713-HN-52-41/gem360-0304230713-HN-52-41.html")</f>
        <v>https://view.gem360.in/gem360/0304230713-HN-52-41/gem360-0304230713-HN-52-41.html</v>
      </c>
    </row>
    <row r="11" spans="1:62" ht="16" x14ac:dyDescent="0.2">
      <c r="A11" s="4" t="s">
        <v>71</v>
      </c>
      <c r="B11" s="7" t="s">
        <v>536</v>
      </c>
      <c r="C11" s="4" t="s">
        <v>545</v>
      </c>
      <c r="D11" s="8">
        <v>2.31</v>
      </c>
      <c r="E11" s="9" t="s">
        <v>546</v>
      </c>
      <c r="F11" s="4" t="s">
        <v>538</v>
      </c>
      <c r="G11" s="4" t="s">
        <v>540</v>
      </c>
      <c r="H11" s="4" t="s">
        <v>540</v>
      </c>
      <c r="I11" s="4" t="s">
        <v>540</v>
      </c>
      <c r="J11" s="4" t="s">
        <v>541</v>
      </c>
      <c r="L11" s="4" t="s">
        <v>575</v>
      </c>
      <c r="O11" s="4" t="s">
        <v>1040</v>
      </c>
      <c r="P11" s="4">
        <v>571301019</v>
      </c>
      <c r="R11" s="4">
        <v>17000</v>
      </c>
      <c r="S11">
        <f t="shared" si="0"/>
        <v>39270</v>
      </c>
      <c r="T11" s="7">
        <v>-96</v>
      </c>
      <c r="U11">
        <f t="shared" si="1"/>
        <v>1570.8</v>
      </c>
      <c r="V11" s="15">
        <v>0.63200000000000001</v>
      </c>
      <c r="W11" s="15">
        <v>0.57499999999999996</v>
      </c>
      <c r="BB11" s="20" t="str">
        <f>HYPERLINK("https://v360.in/diamondview.aspx?cid=preet&amp;d=HN-141-86","https://v360.in/diamondview.aspx?cid=preet&amp;d=HN-141-86")</f>
        <v>https://v360.in/diamondview.aspx?cid=preet&amp;d=HN-141-86</v>
      </c>
    </row>
    <row r="12" spans="1:62" ht="16" x14ac:dyDescent="0.2">
      <c r="A12" s="4" t="s">
        <v>72</v>
      </c>
      <c r="B12" s="7" t="s">
        <v>536</v>
      </c>
      <c r="C12" s="4" t="s">
        <v>545</v>
      </c>
      <c r="D12" s="8">
        <v>2.27</v>
      </c>
      <c r="E12" s="9" t="s">
        <v>546</v>
      </c>
      <c r="F12" s="4" t="s">
        <v>547</v>
      </c>
      <c r="G12" s="4" t="s">
        <v>540</v>
      </c>
      <c r="H12" s="4" t="s">
        <v>540</v>
      </c>
      <c r="I12" s="4" t="s">
        <v>540</v>
      </c>
      <c r="J12" s="4" t="s">
        <v>541</v>
      </c>
      <c r="L12" s="4" t="s">
        <v>576</v>
      </c>
      <c r="O12" s="4" t="s">
        <v>1040</v>
      </c>
      <c r="P12" s="4">
        <v>585329950</v>
      </c>
      <c r="R12" s="4">
        <v>22500</v>
      </c>
      <c r="S12">
        <f t="shared" si="0"/>
        <v>51075</v>
      </c>
      <c r="T12" s="7">
        <v>-96</v>
      </c>
      <c r="U12">
        <f t="shared" si="1"/>
        <v>2043</v>
      </c>
      <c r="V12" s="15">
        <v>0.60799999999999998</v>
      </c>
      <c r="W12" s="16">
        <v>0.6</v>
      </c>
      <c r="BB12" s="20" t="str">
        <f>HYPERLINK("https://view.gem360.in/gem360/2106230518-HN-169-7/gem360-2106230518-HN-169-7.html","https://view.gem360.in/gem360/2106230518-HN-169-7/gem360-2106230518-HN-169-7.html")</f>
        <v>https://view.gem360.in/gem360/2106230518-HN-169-7/gem360-2106230518-HN-169-7.html</v>
      </c>
    </row>
    <row r="13" spans="1:62" ht="16" x14ac:dyDescent="0.2">
      <c r="A13" s="4" t="s">
        <v>73</v>
      </c>
      <c r="B13" s="7" t="s">
        <v>536</v>
      </c>
      <c r="C13" s="4" t="s">
        <v>545</v>
      </c>
      <c r="D13" s="8">
        <v>2.2599999999999998</v>
      </c>
      <c r="E13" s="9" t="s">
        <v>536</v>
      </c>
      <c r="F13" s="4" t="s">
        <v>538</v>
      </c>
      <c r="G13" s="4" t="s">
        <v>540</v>
      </c>
      <c r="H13" s="4" t="s">
        <v>540</v>
      </c>
      <c r="I13" s="4" t="s">
        <v>540</v>
      </c>
      <c r="J13" s="4" t="s">
        <v>541</v>
      </c>
      <c r="L13" s="4" t="s">
        <v>577</v>
      </c>
      <c r="O13" s="4" t="s">
        <v>1040</v>
      </c>
      <c r="P13" s="4">
        <v>588373455</v>
      </c>
      <c r="R13" s="4">
        <v>15500</v>
      </c>
      <c r="S13">
        <f t="shared" si="0"/>
        <v>35030</v>
      </c>
      <c r="T13" s="7">
        <v>-96</v>
      </c>
      <c r="U13">
        <f t="shared" si="1"/>
        <v>1401.1999999999998</v>
      </c>
      <c r="V13" s="15">
        <v>0.59799999999999998</v>
      </c>
      <c r="W13" s="16">
        <v>0.6</v>
      </c>
      <c r="BB13" s="20" t="str">
        <f>HYPERLINK("https://view.gem360.in/gem360/0707230829-HN-7001/gem360-0707230829-HN-7001.html","https://view.gem360.in/gem360/0707230829-HN-7001/gem360-0707230829-HN-7001.html")</f>
        <v>https://view.gem360.in/gem360/0707230829-HN-7001/gem360-0707230829-HN-7001.html</v>
      </c>
    </row>
    <row r="14" spans="1:62" ht="16" x14ac:dyDescent="0.2">
      <c r="A14" s="4" t="s">
        <v>74</v>
      </c>
      <c r="B14" s="7" t="s">
        <v>536</v>
      </c>
      <c r="C14" s="4" t="s">
        <v>545</v>
      </c>
      <c r="D14" s="8">
        <v>2.16</v>
      </c>
      <c r="E14" s="9" t="s">
        <v>542</v>
      </c>
      <c r="F14" s="4" t="s">
        <v>544</v>
      </c>
      <c r="G14" s="4" t="s">
        <v>540</v>
      </c>
      <c r="H14" s="4" t="s">
        <v>540</v>
      </c>
      <c r="I14" s="4" t="s">
        <v>540</v>
      </c>
      <c r="J14" s="4" t="s">
        <v>541</v>
      </c>
      <c r="L14" s="4" t="s">
        <v>578</v>
      </c>
      <c r="O14" s="4" t="s">
        <v>1040</v>
      </c>
      <c r="P14" s="4">
        <v>520212206</v>
      </c>
      <c r="R14" s="4">
        <v>15000</v>
      </c>
      <c r="S14">
        <f t="shared" si="0"/>
        <v>32400.000000000004</v>
      </c>
      <c r="T14" s="7">
        <v>-96</v>
      </c>
      <c r="U14">
        <f t="shared" si="1"/>
        <v>1296</v>
      </c>
      <c r="V14" s="4">
        <v>59.7</v>
      </c>
      <c r="W14" s="15">
        <v>0.60499999999999998</v>
      </c>
      <c r="BB14" s="20" t="str">
        <f>HYPERLINK("https://view.gem360.in/gem360/0504220722-HN52-30/gem360-0504220722-HN52-30.html","https://view.gem360.in/gem360/0504220722-HN52-30/gem360-0504220722-HN52-30.html")</f>
        <v>https://view.gem360.in/gem360/0504220722-HN52-30/gem360-0504220722-HN52-30.html</v>
      </c>
    </row>
    <row r="15" spans="1:62" ht="16" x14ac:dyDescent="0.2">
      <c r="A15" s="4" t="s">
        <v>75</v>
      </c>
      <c r="B15" s="7" t="s">
        <v>536</v>
      </c>
      <c r="C15" s="4" t="s">
        <v>545</v>
      </c>
      <c r="D15" s="8">
        <v>2.14</v>
      </c>
      <c r="E15" s="9" t="s">
        <v>536</v>
      </c>
      <c r="F15" s="4" t="s">
        <v>538</v>
      </c>
      <c r="G15" s="4" t="s">
        <v>540</v>
      </c>
      <c r="H15" s="4" t="s">
        <v>540</v>
      </c>
      <c r="I15" s="4" t="s">
        <v>540</v>
      </c>
      <c r="J15" s="4" t="s">
        <v>541</v>
      </c>
      <c r="L15" s="4" t="s">
        <v>579</v>
      </c>
      <c r="O15" s="4" t="s">
        <v>1040</v>
      </c>
      <c r="P15" s="4">
        <v>522224997</v>
      </c>
      <c r="R15" s="4">
        <v>15500</v>
      </c>
      <c r="S15">
        <f t="shared" si="0"/>
        <v>33170</v>
      </c>
      <c r="T15" s="7">
        <v>-96</v>
      </c>
      <c r="U15">
        <f t="shared" si="1"/>
        <v>1326.8000000000002</v>
      </c>
      <c r="V15" s="15">
        <v>0.623</v>
      </c>
      <c r="W15" s="4">
        <v>59</v>
      </c>
      <c r="BB15" s="20" t="str">
        <f>HYPERLINK("https://view.gem360.in/gem360/0704220635-HN52-27/gem360-0704220635-HN52-27.html","https://view.gem360.in/gem360/0704220635-HN52-27/gem360-0704220635-HN52-27.html")</f>
        <v>https://view.gem360.in/gem360/0704220635-HN52-27/gem360-0704220635-HN52-27.html</v>
      </c>
    </row>
    <row r="16" spans="1:62" ht="16" x14ac:dyDescent="0.2">
      <c r="A16" s="4" t="s">
        <v>76</v>
      </c>
      <c r="B16" s="7" t="s">
        <v>536</v>
      </c>
      <c r="C16" s="4" t="s">
        <v>545</v>
      </c>
      <c r="D16" s="8">
        <v>2.09</v>
      </c>
      <c r="E16" s="9" t="s">
        <v>546</v>
      </c>
      <c r="F16" s="4" t="s">
        <v>538</v>
      </c>
      <c r="G16" s="4" t="s">
        <v>540</v>
      </c>
      <c r="H16" s="4" t="s">
        <v>540</v>
      </c>
      <c r="I16" s="4" t="s">
        <v>540</v>
      </c>
      <c r="J16" s="4" t="s">
        <v>541</v>
      </c>
      <c r="L16" s="4" t="s">
        <v>580</v>
      </c>
      <c r="O16" s="4" t="s">
        <v>1040</v>
      </c>
      <c r="P16" s="4">
        <v>559298588</v>
      </c>
      <c r="R16" s="4">
        <v>17000</v>
      </c>
      <c r="S16">
        <f t="shared" si="0"/>
        <v>35530</v>
      </c>
      <c r="T16" s="7">
        <v>-96</v>
      </c>
      <c r="U16">
        <f t="shared" si="1"/>
        <v>1421.1999999999998</v>
      </c>
      <c r="V16" s="15">
        <v>0.60199999999999998</v>
      </c>
      <c r="W16" s="4">
        <v>60</v>
      </c>
      <c r="BB16" s="20" t="str">
        <f>HYPERLINK("https://v360.in/diamondview.aspx?cid=preet&amp;d=HN-129-5","https://v360.in/diamondview.aspx?cid=preet&amp;d=HN-129-5")</f>
        <v>https://v360.in/diamondview.aspx?cid=preet&amp;d=HN-129-5</v>
      </c>
    </row>
    <row r="17" spans="1:54" ht="16" x14ac:dyDescent="0.2">
      <c r="A17" s="4" t="s">
        <v>77</v>
      </c>
      <c r="B17" s="7" t="s">
        <v>536</v>
      </c>
      <c r="C17" s="4" t="s">
        <v>545</v>
      </c>
      <c r="D17" s="8">
        <v>2.0299999999999998</v>
      </c>
      <c r="E17" s="9" t="s">
        <v>548</v>
      </c>
      <c r="F17" s="4" t="s">
        <v>544</v>
      </c>
      <c r="G17" s="4" t="s">
        <v>540</v>
      </c>
      <c r="H17" s="4" t="s">
        <v>540</v>
      </c>
      <c r="I17" s="4" t="s">
        <v>540</v>
      </c>
      <c r="J17" s="4" t="s">
        <v>541</v>
      </c>
      <c r="L17" s="4" t="s">
        <v>581</v>
      </c>
      <c r="O17" s="4" t="s">
        <v>1040</v>
      </c>
      <c r="P17" s="4">
        <v>584379533</v>
      </c>
      <c r="R17" s="4">
        <v>21500</v>
      </c>
      <c r="S17">
        <f t="shared" si="0"/>
        <v>43644.999999999993</v>
      </c>
      <c r="T17" s="7">
        <v>-96</v>
      </c>
      <c r="U17">
        <f t="shared" si="1"/>
        <v>1745.7999999999997</v>
      </c>
      <c r="V17" s="15">
        <v>0.59299999999999997</v>
      </c>
      <c r="W17" s="16">
        <v>0.6</v>
      </c>
      <c r="BB17" s="20" t="str">
        <f>HYPERLINK("https://view.gem360.in/gem360/0706230517-HN-744/gem360-0706230517-HN-744.html","https://view.gem360.in/gem360/0706230517-HN-744/gem360-0706230517-HN-744.html")</f>
        <v>https://view.gem360.in/gem360/0706230517-HN-744/gem360-0706230517-HN-744.html</v>
      </c>
    </row>
    <row r="18" spans="1:54" ht="16" x14ac:dyDescent="0.2">
      <c r="A18" s="4" t="s">
        <v>78</v>
      </c>
      <c r="B18" s="7" t="s">
        <v>536</v>
      </c>
      <c r="C18" s="4" t="s">
        <v>545</v>
      </c>
      <c r="D18" s="8">
        <v>2.02</v>
      </c>
      <c r="E18" s="9" t="s">
        <v>542</v>
      </c>
      <c r="F18" s="4" t="s">
        <v>549</v>
      </c>
      <c r="G18" s="4" t="s">
        <v>540</v>
      </c>
      <c r="H18" s="4" t="s">
        <v>540</v>
      </c>
      <c r="I18" s="4" t="s">
        <v>540</v>
      </c>
      <c r="J18" s="4" t="s">
        <v>541</v>
      </c>
      <c r="L18" s="4" t="s">
        <v>582</v>
      </c>
      <c r="O18" s="4" t="s">
        <v>1040</v>
      </c>
      <c r="P18" s="4">
        <v>588373456</v>
      </c>
      <c r="R18" s="4">
        <v>11600</v>
      </c>
      <c r="S18">
        <f t="shared" si="0"/>
        <v>23432</v>
      </c>
      <c r="T18" s="7">
        <v>-96</v>
      </c>
      <c r="U18">
        <f t="shared" si="1"/>
        <v>937.28</v>
      </c>
      <c r="V18" s="16">
        <v>0.6</v>
      </c>
      <c r="W18" s="16">
        <v>0.57999999999999996</v>
      </c>
      <c r="BB18" s="20" t="str">
        <f>HYPERLINK("https://view.gem360.in/gem360/0707230837-HN-7000/gem360-0707230837-HN-7000.html","https://view.gem360.in/gem360/0707230837-HN-7000/gem360-0707230837-HN-7000.html")</f>
        <v>https://view.gem360.in/gem360/0707230837-HN-7000/gem360-0707230837-HN-7000.html</v>
      </c>
    </row>
    <row r="19" spans="1:54" ht="16" x14ac:dyDescent="0.2">
      <c r="A19" s="4" t="s">
        <v>79</v>
      </c>
      <c r="B19" s="7" t="s">
        <v>536</v>
      </c>
      <c r="C19" s="4" t="s">
        <v>545</v>
      </c>
      <c r="D19" s="8">
        <v>2.0099999999999998</v>
      </c>
      <c r="E19" s="9" t="s">
        <v>546</v>
      </c>
      <c r="F19" s="4" t="s">
        <v>549</v>
      </c>
      <c r="G19" s="4" t="s">
        <v>540</v>
      </c>
      <c r="H19" s="4" t="s">
        <v>540</v>
      </c>
      <c r="I19" s="4" t="s">
        <v>540</v>
      </c>
      <c r="J19" s="4" t="s">
        <v>541</v>
      </c>
      <c r="L19" s="4" t="s">
        <v>583</v>
      </c>
      <c r="O19" s="4" t="s">
        <v>1040</v>
      </c>
      <c r="P19" s="4">
        <v>551214619</v>
      </c>
      <c r="R19" s="4">
        <v>13600</v>
      </c>
      <c r="S19">
        <f t="shared" si="0"/>
        <v>27335.999999999996</v>
      </c>
      <c r="T19" s="7">
        <v>-96</v>
      </c>
      <c r="U19">
        <f t="shared" si="1"/>
        <v>1093.4399999999998</v>
      </c>
      <c r="V19" s="15">
        <v>0.60699999999999998</v>
      </c>
      <c r="W19" s="16">
        <v>0.59</v>
      </c>
      <c r="BB19" s="20" t="str">
        <f>HYPERLINK("https://v360.in/diamondview.aspx?cid=preet&amp;d=HN-127-2","https://v360.in/diamondview.aspx?cid=preet&amp;d=HN-127-2")</f>
        <v>https://v360.in/diamondview.aspx?cid=preet&amp;d=HN-127-2</v>
      </c>
    </row>
    <row r="20" spans="1:54" ht="16" x14ac:dyDescent="0.2">
      <c r="A20" s="4" t="s">
        <v>80</v>
      </c>
      <c r="B20" s="7" t="s">
        <v>536</v>
      </c>
      <c r="C20" s="4" t="s">
        <v>545</v>
      </c>
      <c r="D20" s="8">
        <v>2</v>
      </c>
      <c r="E20" s="9" t="s">
        <v>548</v>
      </c>
      <c r="F20" s="4" t="s">
        <v>538</v>
      </c>
      <c r="G20" s="4" t="s">
        <v>540</v>
      </c>
      <c r="H20" s="4" t="s">
        <v>540</v>
      </c>
      <c r="I20" s="4" t="s">
        <v>540</v>
      </c>
      <c r="J20" s="4" t="s">
        <v>541</v>
      </c>
      <c r="L20" s="4" t="s">
        <v>584</v>
      </c>
      <c r="O20" s="4" t="s">
        <v>1040</v>
      </c>
      <c r="P20" s="4">
        <v>559298604</v>
      </c>
      <c r="R20" s="4">
        <v>18500</v>
      </c>
      <c r="S20">
        <f t="shared" si="0"/>
        <v>37000</v>
      </c>
      <c r="T20" s="7">
        <v>-96</v>
      </c>
      <c r="U20">
        <f t="shared" si="1"/>
        <v>1480</v>
      </c>
      <c r="V20" s="15">
        <v>0.624</v>
      </c>
      <c r="W20" s="15">
        <v>0.60499999999999998</v>
      </c>
      <c r="BB20" s="20" t="str">
        <f>HYPERLINK("https://v360.in/diamondview.aspx?cid=preet&amp;d=HN-130-37","https://v360.in/diamondview.aspx?cid=preet&amp;d=HN-130-37")</f>
        <v>https://v360.in/diamondview.aspx?cid=preet&amp;d=HN-130-37</v>
      </c>
    </row>
    <row r="21" spans="1:54" ht="16" x14ac:dyDescent="0.2">
      <c r="A21" s="4" t="s">
        <v>81</v>
      </c>
      <c r="B21" s="7" t="s">
        <v>536</v>
      </c>
      <c r="C21" s="4" t="s">
        <v>545</v>
      </c>
      <c r="D21" s="8">
        <v>1.87</v>
      </c>
      <c r="E21" s="9" t="s">
        <v>548</v>
      </c>
      <c r="F21" s="4" t="s">
        <v>544</v>
      </c>
      <c r="G21" s="4" t="s">
        <v>540</v>
      </c>
      <c r="H21" s="4" t="s">
        <v>540</v>
      </c>
      <c r="I21" s="4" t="s">
        <v>540</v>
      </c>
      <c r="J21" s="4" t="s">
        <v>541</v>
      </c>
      <c r="L21" s="4" t="s">
        <v>585</v>
      </c>
      <c r="O21" s="4" t="s">
        <v>1040</v>
      </c>
      <c r="P21" s="4">
        <v>588373460</v>
      </c>
      <c r="R21" s="4">
        <v>15100</v>
      </c>
      <c r="S21">
        <f t="shared" si="0"/>
        <v>28237</v>
      </c>
      <c r="T21" s="7">
        <v>-96</v>
      </c>
      <c r="U21">
        <f t="shared" si="1"/>
        <v>1129.48</v>
      </c>
      <c r="V21" s="16">
        <v>0.61</v>
      </c>
      <c r="W21" s="16">
        <v>0.61</v>
      </c>
      <c r="BB21" s="20" t="str">
        <f>HYPERLINK("https://view.gem360.in/gem360/0707230838-HN-7002/gem360-0707230838-HN-7002.html","https://view.gem360.in/gem360/0707230838-HN-7002/gem360-0707230838-HN-7002.html")</f>
        <v>https://view.gem360.in/gem360/0707230838-HN-7002/gem360-0707230838-HN-7002.html</v>
      </c>
    </row>
    <row r="22" spans="1:54" ht="16" x14ac:dyDescent="0.2">
      <c r="A22" s="4" t="s">
        <v>82</v>
      </c>
      <c r="B22" s="7" t="s">
        <v>536</v>
      </c>
      <c r="C22" s="4" t="s">
        <v>545</v>
      </c>
      <c r="D22" s="8">
        <v>1.76</v>
      </c>
      <c r="E22" s="9" t="s">
        <v>546</v>
      </c>
      <c r="F22" s="4" t="s">
        <v>538</v>
      </c>
      <c r="G22" s="4" t="s">
        <v>540</v>
      </c>
      <c r="H22" s="4" t="s">
        <v>540</v>
      </c>
      <c r="I22" s="4" t="s">
        <v>540</v>
      </c>
      <c r="J22" s="4" t="s">
        <v>541</v>
      </c>
      <c r="L22" s="4" t="s">
        <v>586</v>
      </c>
      <c r="O22" s="4" t="s">
        <v>1040</v>
      </c>
      <c r="P22" s="4">
        <v>584379536</v>
      </c>
      <c r="R22" s="4">
        <v>12300</v>
      </c>
      <c r="S22">
        <f t="shared" si="0"/>
        <v>21648</v>
      </c>
      <c r="T22" s="7">
        <v>-96</v>
      </c>
      <c r="U22">
        <f t="shared" si="1"/>
        <v>865.92</v>
      </c>
      <c r="V22" s="15">
        <v>0.59599999999999997</v>
      </c>
      <c r="W22" s="16">
        <v>0.6</v>
      </c>
      <c r="BB22" s="20" t="str">
        <f>HYPERLINK("https://view.gem360.in/gem360/0706230520-HN-750/gem360-0706230520-HN-750.html","https://view.gem360.in/gem360/0706230520-HN-750/gem360-0706230520-HN-750.html")</f>
        <v>https://view.gem360.in/gem360/0706230520-HN-750/gem360-0706230520-HN-750.html</v>
      </c>
    </row>
    <row r="23" spans="1:54" ht="16" x14ac:dyDescent="0.2">
      <c r="A23" s="4" t="s">
        <v>83</v>
      </c>
      <c r="B23" s="7" t="s">
        <v>536</v>
      </c>
      <c r="C23" s="4" t="s">
        <v>545</v>
      </c>
      <c r="D23" s="8">
        <v>1.64</v>
      </c>
      <c r="E23" s="9" t="s">
        <v>546</v>
      </c>
      <c r="F23" s="4" t="s">
        <v>544</v>
      </c>
      <c r="G23" s="4" t="s">
        <v>540</v>
      </c>
      <c r="H23" s="4" t="s">
        <v>540</v>
      </c>
      <c r="I23" s="4" t="s">
        <v>540</v>
      </c>
      <c r="J23" s="4" t="s">
        <v>541</v>
      </c>
      <c r="L23" s="4" t="s">
        <v>587</v>
      </c>
      <c r="O23" s="4" t="s">
        <v>1040</v>
      </c>
      <c r="P23" s="4">
        <v>575396050</v>
      </c>
      <c r="R23" s="4">
        <v>13700</v>
      </c>
      <c r="S23">
        <f t="shared" si="0"/>
        <v>22468</v>
      </c>
      <c r="T23" s="7">
        <v>-96</v>
      </c>
      <c r="U23">
        <f t="shared" si="1"/>
        <v>898.71999999999991</v>
      </c>
      <c r="V23" s="15">
        <v>0.59699999999999998</v>
      </c>
      <c r="W23" s="15">
        <v>0.59499999999999997</v>
      </c>
      <c r="BB23" s="20" t="str">
        <f>HYPERLINK("https://view.gem360.in/gem360/1304230514-HN-159-46/gem360-1304230514-HN-159-46.html","https://view.gem360.in/gem360/1304230514-HN-159-46/gem360-1304230514-HN-159-46.html")</f>
        <v>https://view.gem360.in/gem360/1304230514-HN-159-46/gem360-1304230514-HN-159-46.html</v>
      </c>
    </row>
    <row r="24" spans="1:54" ht="16" x14ac:dyDescent="0.2">
      <c r="A24" s="4" t="s">
        <v>84</v>
      </c>
      <c r="B24" s="7" t="s">
        <v>536</v>
      </c>
      <c r="C24" s="4" t="s">
        <v>545</v>
      </c>
      <c r="D24" s="8">
        <v>1.62</v>
      </c>
      <c r="E24" s="9" t="s">
        <v>546</v>
      </c>
      <c r="F24" s="4" t="s">
        <v>538</v>
      </c>
      <c r="G24" s="4" t="s">
        <v>540</v>
      </c>
      <c r="H24" s="4" t="s">
        <v>540</v>
      </c>
      <c r="I24" s="4" t="s">
        <v>540</v>
      </c>
      <c r="J24" s="4" t="s">
        <v>541</v>
      </c>
      <c r="L24" s="4" t="s">
        <v>588</v>
      </c>
      <c r="O24" s="4" t="s">
        <v>1040</v>
      </c>
      <c r="P24" s="4">
        <v>553219380</v>
      </c>
      <c r="R24" s="4">
        <v>12300</v>
      </c>
      <c r="S24">
        <f t="shared" si="0"/>
        <v>19926</v>
      </c>
      <c r="T24" s="7">
        <v>-96</v>
      </c>
      <c r="U24">
        <f t="shared" si="1"/>
        <v>797.04000000000008</v>
      </c>
      <c r="V24" s="16">
        <v>0.6</v>
      </c>
      <c r="W24" s="16">
        <v>0.59</v>
      </c>
      <c r="BB24" s="20" t="str">
        <f>HYPERLINK("https://v360.in/diamondview.aspx?cid=preet&amp;d=HN-127-6","https://v360.in/diamondview.aspx?cid=preet&amp;d=HN-127-6")</f>
        <v>https://v360.in/diamondview.aspx?cid=preet&amp;d=HN-127-6</v>
      </c>
    </row>
    <row r="25" spans="1:54" ht="16" x14ac:dyDescent="0.2">
      <c r="A25" s="4" t="s">
        <v>85</v>
      </c>
      <c r="B25" s="7" t="s">
        <v>536</v>
      </c>
      <c r="C25" s="4" t="s">
        <v>545</v>
      </c>
      <c r="D25" s="8">
        <v>1.6</v>
      </c>
      <c r="E25" s="9" t="s">
        <v>546</v>
      </c>
      <c r="F25" s="4" t="s">
        <v>547</v>
      </c>
      <c r="G25" s="4" t="s">
        <v>540</v>
      </c>
      <c r="H25" s="4" t="s">
        <v>540</v>
      </c>
      <c r="I25" s="4" t="s">
        <v>540</v>
      </c>
      <c r="J25" s="4" t="s">
        <v>541</v>
      </c>
      <c r="L25" s="4" t="s">
        <v>589</v>
      </c>
      <c r="O25" s="4" t="s">
        <v>1040</v>
      </c>
      <c r="P25" s="4">
        <v>587308051</v>
      </c>
      <c r="R25" s="4">
        <v>15300</v>
      </c>
      <c r="S25">
        <f t="shared" si="0"/>
        <v>24480</v>
      </c>
      <c r="T25" s="7">
        <v>-96</v>
      </c>
      <c r="U25">
        <f t="shared" si="1"/>
        <v>979.2</v>
      </c>
      <c r="V25" s="16">
        <v>0.62</v>
      </c>
      <c r="W25" s="16">
        <v>0.56999999999999995</v>
      </c>
      <c r="BB25" s="20" t="str">
        <f>HYPERLINK("https://view.gem360.in/gem360/2906230635-HN-778/gem360-2906230635-HN-778.html","https://view.gem360.in/gem360/2906230635-HN-778/gem360-2906230635-HN-778.html")</f>
        <v>https://view.gem360.in/gem360/2906230635-HN-778/gem360-2906230635-HN-778.html</v>
      </c>
    </row>
    <row r="26" spans="1:54" ht="16" x14ac:dyDescent="0.2">
      <c r="A26" s="4" t="s">
        <v>86</v>
      </c>
      <c r="B26" s="7" t="s">
        <v>536</v>
      </c>
      <c r="C26" s="4" t="s">
        <v>545</v>
      </c>
      <c r="D26" s="8">
        <v>1.57</v>
      </c>
      <c r="E26" s="9" t="s">
        <v>542</v>
      </c>
      <c r="F26" s="4" t="s">
        <v>538</v>
      </c>
      <c r="G26" s="4" t="s">
        <v>540</v>
      </c>
      <c r="H26" s="4" t="s">
        <v>540</v>
      </c>
      <c r="I26" s="4" t="s">
        <v>540</v>
      </c>
      <c r="J26" s="4" t="s">
        <v>541</v>
      </c>
      <c r="L26" s="4" t="s">
        <v>590</v>
      </c>
      <c r="O26" s="4" t="s">
        <v>1040</v>
      </c>
      <c r="P26" s="4">
        <v>572327196</v>
      </c>
      <c r="R26" s="4">
        <v>9800</v>
      </c>
      <c r="S26">
        <f t="shared" si="0"/>
        <v>15386</v>
      </c>
      <c r="T26" s="7">
        <v>-96</v>
      </c>
      <c r="U26">
        <f t="shared" si="1"/>
        <v>615.44000000000005</v>
      </c>
      <c r="V26" s="15">
        <v>0.625</v>
      </c>
      <c r="W26" s="16">
        <v>0.56000000000000005</v>
      </c>
      <c r="BB26" s="20" t="str">
        <f>HYPERLINK("https://v360.in/diamondview.aspx?cid=preet&amp;d=HN-151-27","https://v360.in/diamondview.aspx?cid=preet&amp;d=HN-151-27")</f>
        <v>https://v360.in/diamondview.aspx?cid=preet&amp;d=HN-151-27</v>
      </c>
    </row>
    <row r="27" spans="1:54" ht="16" x14ac:dyDescent="0.2">
      <c r="A27" s="4" t="s">
        <v>87</v>
      </c>
      <c r="B27" s="7" t="s">
        <v>536</v>
      </c>
      <c r="C27" s="4" t="s">
        <v>545</v>
      </c>
      <c r="D27" s="8">
        <v>1.55</v>
      </c>
      <c r="E27" s="9" t="s">
        <v>546</v>
      </c>
      <c r="F27" s="4" t="s">
        <v>538</v>
      </c>
      <c r="G27" s="4" t="s">
        <v>540</v>
      </c>
      <c r="H27" s="4" t="s">
        <v>540</v>
      </c>
      <c r="I27" s="4" t="s">
        <v>540</v>
      </c>
      <c r="J27" s="4" t="s">
        <v>541</v>
      </c>
      <c r="L27" s="4" t="s">
        <v>591</v>
      </c>
      <c r="O27" s="4" t="s">
        <v>1040</v>
      </c>
      <c r="P27" s="4">
        <v>583334138</v>
      </c>
      <c r="R27" s="4">
        <v>12300</v>
      </c>
      <c r="S27">
        <f t="shared" si="0"/>
        <v>19065</v>
      </c>
      <c r="T27" s="7">
        <v>-96</v>
      </c>
      <c r="U27">
        <f t="shared" si="1"/>
        <v>762.6</v>
      </c>
      <c r="V27" s="15">
        <v>0.60299999999999998</v>
      </c>
      <c r="W27" s="16">
        <v>0.62</v>
      </c>
      <c r="BB27" s="20" t="str">
        <f>HYPERLINK("https://view.gem360.in/gem360/0106230645-HN-704/gem360-0106230645-HN-704.html","https://view.gem360.in/gem360/0106230645-HN-704/gem360-0106230645-HN-704.html")</f>
        <v>https://view.gem360.in/gem360/0106230645-HN-704/gem360-0106230645-HN-704.html</v>
      </c>
    </row>
    <row r="28" spans="1:54" ht="16" x14ac:dyDescent="0.2">
      <c r="A28" s="4" t="s">
        <v>88</v>
      </c>
      <c r="B28" s="7" t="s">
        <v>536</v>
      </c>
      <c r="C28" s="4" t="s">
        <v>545</v>
      </c>
      <c r="D28" s="8">
        <v>1.51</v>
      </c>
      <c r="E28" s="9" t="s">
        <v>546</v>
      </c>
      <c r="F28" s="4" t="s">
        <v>544</v>
      </c>
      <c r="G28" s="4" t="s">
        <v>540</v>
      </c>
      <c r="H28" s="4" t="s">
        <v>540</v>
      </c>
      <c r="I28" s="4" t="s">
        <v>540</v>
      </c>
      <c r="J28" s="4" t="s">
        <v>541</v>
      </c>
      <c r="L28" s="4" t="s">
        <v>592</v>
      </c>
      <c r="O28" s="4" t="s">
        <v>1040</v>
      </c>
      <c r="P28" s="4">
        <v>588373453</v>
      </c>
      <c r="R28" s="4">
        <v>13700</v>
      </c>
      <c r="S28">
        <f t="shared" si="0"/>
        <v>20687</v>
      </c>
      <c r="T28" s="7">
        <v>-96</v>
      </c>
      <c r="U28">
        <f t="shared" si="1"/>
        <v>827.48</v>
      </c>
      <c r="V28" s="15">
        <v>0.61299999999999999</v>
      </c>
      <c r="W28" s="16">
        <v>0.59</v>
      </c>
      <c r="BB28" s="20" t="str">
        <f>HYPERLINK("https://view.gem360.in/gem360/0707230844-HN-797/gem360-0707230844-HN-797.html","https://view.gem360.in/gem360/0707230844-HN-797/gem360-0707230844-HN-797.html")</f>
        <v>https://view.gem360.in/gem360/0707230844-HN-797/gem360-0707230844-HN-797.html</v>
      </c>
    </row>
    <row r="29" spans="1:54" ht="16" x14ac:dyDescent="0.2">
      <c r="A29" s="4" t="s">
        <v>89</v>
      </c>
      <c r="B29" s="7" t="s">
        <v>536</v>
      </c>
      <c r="C29" s="4" t="s">
        <v>545</v>
      </c>
      <c r="D29" s="8">
        <v>1.51</v>
      </c>
      <c r="E29" s="9" t="s">
        <v>536</v>
      </c>
      <c r="F29" s="4" t="s">
        <v>544</v>
      </c>
      <c r="G29" s="4" t="s">
        <v>540</v>
      </c>
      <c r="H29" s="4" t="s">
        <v>540</v>
      </c>
      <c r="I29" s="4" t="s">
        <v>540</v>
      </c>
      <c r="J29" s="4" t="s">
        <v>541</v>
      </c>
      <c r="L29" s="4" t="s">
        <v>593</v>
      </c>
      <c r="O29" s="4" t="s">
        <v>1040</v>
      </c>
      <c r="P29" s="4">
        <v>575396045</v>
      </c>
      <c r="R29" s="4">
        <v>12200</v>
      </c>
      <c r="S29">
        <f t="shared" si="0"/>
        <v>18422</v>
      </c>
      <c r="T29" s="7">
        <v>-96</v>
      </c>
      <c r="U29">
        <f t="shared" si="1"/>
        <v>736.88</v>
      </c>
      <c r="V29" s="15">
        <v>0.60399999999999998</v>
      </c>
      <c r="W29" s="15">
        <v>0.57499999999999996</v>
      </c>
      <c r="BB29" s="20" t="str">
        <f>HYPERLINK("https://view.gem360.in/gem360/1304230517-HN-159-36/gem360-1304230517-HN-159-36.html","https://view.gem360.in/gem360/1304230517-HN-159-36/gem360-1304230517-HN-159-36.html")</f>
        <v>https://view.gem360.in/gem360/1304230517-HN-159-36/gem360-1304230517-HN-159-36.html</v>
      </c>
    </row>
    <row r="30" spans="1:54" ht="16" x14ac:dyDescent="0.2">
      <c r="A30" s="4" t="s">
        <v>90</v>
      </c>
      <c r="B30" s="7" t="s">
        <v>536</v>
      </c>
      <c r="C30" s="4" t="s">
        <v>545</v>
      </c>
      <c r="D30" s="8">
        <v>1.51</v>
      </c>
      <c r="E30" s="9" t="s">
        <v>542</v>
      </c>
      <c r="F30" s="4" t="s">
        <v>549</v>
      </c>
      <c r="G30" s="4" t="s">
        <v>540</v>
      </c>
      <c r="H30" s="4" t="s">
        <v>540</v>
      </c>
      <c r="I30" s="4" t="s">
        <v>540</v>
      </c>
      <c r="J30" s="4" t="s">
        <v>541</v>
      </c>
      <c r="L30" s="4" t="s">
        <v>594</v>
      </c>
      <c r="O30" s="4" t="s">
        <v>1040</v>
      </c>
      <c r="P30" s="4">
        <v>588373422</v>
      </c>
      <c r="R30" s="4">
        <v>8500</v>
      </c>
      <c r="S30">
        <f t="shared" si="0"/>
        <v>12835</v>
      </c>
      <c r="T30" s="7">
        <v>-96</v>
      </c>
      <c r="U30">
        <f t="shared" si="1"/>
        <v>513.4</v>
      </c>
      <c r="V30" s="15">
        <v>0.61899999999999999</v>
      </c>
      <c r="W30" s="16">
        <v>0.57999999999999996</v>
      </c>
      <c r="BB30" s="20" t="str">
        <f>HYPERLINK("https://view.gem360.in/gem360/0707230842-HN-7006/gem360-0707230842-HN-7006.html","https://view.gem360.in/gem360/0707230842-HN-7006/gem360-0707230842-HN-7006.html")</f>
        <v>https://view.gem360.in/gem360/0707230842-HN-7006/gem360-0707230842-HN-7006.html</v>
      </c>
    </row>
    <row r="31" spans="1:54" ht="16" x14ac:dyDescent="0.2">
      <c r="A31" s="4" t="s">
        <v>91</v>
      </c>
      <c r="B31" s="7" t="s">
        <v>536</v>
      </c>
      <c r="C31" s="4" t="s">
        <v>545</v>
      </c>
      <c r="D31" s="8">
        <v>1.36</v>
      </c>
      <c r="E31" s="9" t="s">
        <v>548</v>
      </c>
      <c r="F31" s="4" t="s">
        <v>544</v>
      </c>
      <c r="G31" s="4" t="s">
        <v>540</v>
      </c>
      <c r="H31" s="4" t="s">
        <v>540</v>
      </c>
      <c r="I31" s="4" t="s">
        <v>540</v>
      </c>
      <c r="J31" s="4" t="s">
        <v>541</v>
      </c>
      <c r="L31" s="4" t="s">
        <v>595</v>
      </c>
      <c r="O31" s="4" t="s">
        <v>1040</v>
      </c>
      <c r="P31" s="4">
        <v>588373452</v>
      </c>
      <c r="R31" s="4">
        <v>10700</v>
      </c>
      <c r="S31">
        <f t="shared" si="0"/>
        <v>14552.000000000002</v>
      </c>
      <c r="T31" s="7">
        <v>-96</v>
      </c>
      <c r="U31">
        <f t="shared" si="1"/>
        <v>582.08000000000004</v>
      </c>
      <c r="V31" s="16">
        <v>0.62</v>
      </c>
      <c r="W31" s="16">
        <v>0.56999999999999995</v>
      </c>
      <c r="BB31" s="20" t="str">
        <f>HYPERLINK("https://view.gem360.in/gem360/0707230847-HN-798/gem360-0707230847-HN-798.html","https://view.gem360.in/gem360/0707230847-HN-798/gem360-0707230847-HN-798.html")</f>
        <v>https://view.gem360.in/gem360/0707230847-HN-798/gem360-0707230847-HN-798.html</v>
      </c>
    </row>
    <row r="32" spans="1:54" ht="16" x14ac:dyDescent="0.2">
      <c r="A32" s="4" t="s">
        <v>92</v>
      </c>
      <c r="B32" s="7" t="s">
        <v>536</v>
      </c>
      <c r="C32" s="4" t="s">
        <v>545</v>
      </c>
      <c r="D32" s="8">
        <v>1.34</v>
      </c>
      <c r="E32" s="9" t="s">
        <v>542</v>
      </c>
      <c r="F32" s="4" t="s">
        <v>549</v>
      </c>
      <c r="G32" s="4" t="s">
        <v>540</v>
      </c>
      <c r="H32" s="4" t="s">
        <v>540</v>
      </c>
      <c r="I32" s="4" t="s">
        <v>540</v>
      </c>
      <c r="J32" s="4" t="s">
        <v>541</v>
      </c>
      <c r="L32" s="4" t="s">
        <v>596</v>
      </c>
      <c r="O32" s="4" t="s">
        <v>1040</v>
      </c>
      <c r="P32" s="4">
        <v>549294152</v>
      </c>
      <c r="R32" s="4">
        <v>5500</v>
      </c>
      <c r="S32">
        <f t="shared" si="0"/>
        <v>7370</v>
      </c>
      <c r="T32" s="7">
        <v>-96</v>
      </c>
      <c r="U32">
        <f t="shared" si="1"/>
        <v>294.8</v>
      </c>
      <c r="V32" s="15">
        <v>0.629</v>
      </c>
      <c r="W32" s="16">
        <v>0.59</v>
      </c>
      <c r="BB32" s="20" t="str">
        <f>HYPERLINK("","")</f>
        <v/>
      </c>
    </row>
    <row r="33" spans="1:54" ht="16" x14ac:dyDescent="0.2">
      <c r="A33" s="4" t="s">
        <v>93</v>
      </c>
      <c r="B33" s="7" t="s">
        <v>536</v>
      </c>
      <c r="C33" s="4" t="s">
        <v>545</v>
      </c>
      <c r="D33" s="8">
        <v>1.31</v>
      </c>
      <c r="E33" s="9" t="s">
        <v>550</v>
      </c>
      <c r="F33" s="4" t="s">
        <v>544</v>
      </c>
      <c r="G33" s="4" t="s">
        <v>540</v>
      </c>
      <c r="H33" s="4" t="s">
        <v>540</v>
      </c>
      <c r="I33" s="4" t="s">
        <v>540</v>
      </c>
      <c r="J33" s="4" t="s">
        <v>541</v>
      </c>
      <c r="L33" s="4" t="s">
        <v>597</v>
      </c>
      <c r="O33" s="4" t="s">
        <v>1040</v>
      </c>
      <c r="P33" s="4">
        <v>588373459</v>
      </c>
      <c r="R33" s="4">
        <v>11700</v>
      </c>
      <c r="S33">
        <f t="shared" si="0"/>
        <v>15327</v>
      </c>
      <c r="T33" s="7">
        <v>-96</v>
      </c>
      <c r="U33">
        <f t="shared" si="1"/>
        <v>613.08000000000004</v>
      </c>
      <c r="V33" s="15">
        <v>0.58399999999999996</v>
      </c>
      <c r="W33" s="16">
        <v>0.62</v>
      </c>
      <c r="BB33" s="20" t="str">
        <f>HYPERLINK("https://view.gem360.in/gem360/0707230851-HN-7003/gem360-0707230851-HN-7003.html","https://view.gem360.in/gem360/0707230851-HN-7003/gem360-0707230851-HN-7003.html")</f>
        <v>https://view.gem360.in/gem360/0707230851-HN-7003/gem360-0707230851-HN-7003.html</v>
      </c>
    </row>
    <row r="34" spans="1:54" ht="16" x14ac:dyDescent="0.2">
      <c r="A34" s="4" t="s">
        <v>94</v>
      </c>
      <c r="B34" s="7" t="s">
        <v>536</v>
      </c>
      <c r="C34" s="4" t="s">
        <v>545</v>
      </c>
      <c r="D34" s="8">
        <v>1.31</v>
      </c>
      <c r="E34" s="9" t="s">
        <v>542</v>
      </c>
      <c r="F34" s="4" t="s">
        <v>544</v>
      </c>
      <c r="G34" s="4" t="s">
        <v>540</v>
      </c>
      <c r="H34" s="4" t="s">
        <v>540</v>
      </c>
      <c r="I34" s="4" t="s">
        <v>540</v>
      </c>
      <c r="J34" s="4" t="s">
        <v>541</v>
      </c>
      <c r="L34" s="4" t="s">
        <v>598</v>
      </c>
      <c r="O34" s="4" t="s">
        <v>1040</v>
      </c>
      <c r="P34" s="4">
        <v>575396053</v>
      </c>
      <c r="R34" s="4">
        <v>7700</v>
      </c>
      <c r="S34">
        <f t="shared" si="0"/>
        <v>10087</v>
      </c>
      <c r="T34" s="7">
        <v>-96</v>
      </c>
      <c r="U34">
        <f t="shared" si="1"/>
        <v>403.48</v>
      </c>
      <c r="V34" s="15">
        <v>0.61799999999999999</v>
      </c>
      <c r="W34" s="15">
        <v>0.59499999999999997</v>
      </c>
      <c r="BB34" s="20" t="str">
        <f>HYPERLINK("https://view.gem360.in/gem360/1304230525-HN-159-57/gem360-1304230525-HN-159-57.html","https://view.gem360.in/gem360/1304230525-HN-159-57/gem360-1304230525-HN-159-57.html")</f>
        <v>https://view.gem360.in/gem360/1304230525-HN-159-57/gem360-1304230525-HN-159-57.html</v>
      </c>
    </row>
    <row r="35" spans="1:54" ht="16" x14ac:dyDescent="0.2">
      <c r="A35" s="4" t="s">
        <v>95</v>
      </c>
      <c r="B35" s="7" t="s">
        <v>536</v>
      </c>
      <c r="C35" s="4" t="s">
        <v>545</v>
      </c>
      <c r="D35" s="8">
        <v>1.25</v>
      </c>
      <c r="E35" s="9" t="s">
        <v>548</v>
      </c>
      <c r="F35" s="4" t="s">
        <v>544</v>
      </c>
      <c r="G35" s="4" t="s">
        <v>540</v>
      </c>
      <c r="H35" s="4" t="s">
        <v>540</v>
      </c>
      <c r="I35" s="4" t="s">
        <v>540</v>
      </c>
      <c r="J35" s="4" t="s">
        <v>541</v>
      </c>
      <c r="L35" s="4" t="s">
        <v>599</v>
      </c>
      <c r="O35" s="4" t="s">
        <v>1040</v>
      </c>
      <c r="P35" s="4">
        <v>587308048</v>
      </c>
      <c r="R35" s="4">
        <v>10700</v>
      </c>
      <c r="S35">
        <f t="shared" si="0"/>
        <v>13375</v>
      </c>
      <c r="T35" s="7">
        <v>-96</v>
      </c>
      <c r="U35">
        <f t="shared" si="1"/>
        <v>535</v>
      </c>
      <c r="V35" s="15">
        <v>0.61499999999999999</v>
      </c>
      <c r="W35" s="16">
        <v>0.56999999999999995</v>
      </c>
      <c r="BB35" s="20" t="str">
        <f>HYPERLINK("https://view.gem360.in/gem360/2906230712-HN-781/gem360-2906230712-HN-781.html","https://view.gem360.in/gem360/2906230712-HN-781/gem360-2906230712-HN-781.html")</f>
        <v>https://view.gem360.in/gem360/2906230712-HN-781/gem360-2906230712-HN-781.html</v>
      </c>
    </row>
    <row r="36" spans="1:54" ht="16" x14ac:dyDescent="0.2">
      <c r="A36" s="4" t="s">
        <v>96</v>
      </c>
      <c r="B36" s="7" t="s">
        <v>536</v>
      </c>
      <c r="C36" s="4" t="s">
        <v>545</v>
      </c>
      <c r="D36" s="8">
        <v>1.25</v>
      </c>
      <c r="E36" s="9" t="s">
        <v>546</v>
      </c>
      <c r="F36" s="4" t="s">
        <v>544</v>
      </c>
      <c r="G36" s="4" t="s">
        <v>540</v>
      </c>
      <c r="H36" s="4" t="s">
        <v>540</v>
      </c>
      <c r="I36" s="4" t="s">
        <v>540</v>
      </c>
      <c r="J36" s="4" t="s">
        <v>541</v>
      </c>
      <c r="L36" s="4" t="s">
        <v>600</v>
      </c>
      <c r="O36" s="4" t="s">
        <v>1040</v>
      </c>
      <c r="P36" s="4">
        <v>588373429</v>
      </c>
      <c r="R36" s="4">
        <v>10000</v>
      </c>
      <c r="S36">
        <f t="shared" si="0"/>
        <v>12500</v>
      </c>
      <c r="T36" s="7">
        <v>-96</v>
      </c>
      <c r="U36">
        <f t="shared" si="1"/>
        <v>500</v>
      </c>
      <c r="V36" s="15">
        <v>0.621</v>
      </c>
      <c r="W36" s="16">
        <v>0.56999999999999995</v>
      </c>
      <c r="BB36" s="20" t="str">
        <f>HYPERLINK("https://view.gem360.in/gem360/0707230855-HN-794/gem360-0707230855-HN-794.html","https://view.gem360.in/gem360/0707230855-HN-794/gem360-0707230855-HN-794.html")</f>
        <v>https://view.gem360.in/gem360/0707230855-HN-794/gem360-0707230855-HN-794.html</v>
      </c>
    </row>
    <row r="37" spans="1:54" ht="16" x14ac:dyDescent="0.2">
      <c r="A37" s="4" t="s">
        <v>97</v>
      </c>
      <c r="B37" s="7" t="s">
        <v>536</v>
      </c>
      <c r="C37" s="4" t="s">
        <v>545</v>
      </c>
      <c r="D37" s="8">
        <v>1.25</v>
      </c>
      <c r="E37" s="9" t="s">
        <v>536</v>
      </c>
      <c r="F37" s="4" t="s">
        <v>544</v>
      </c>
      <c r="G37" s="4" t="s">
        <v>540</v>
      </c>
      <c r="H37" s="4" t="s">
        <v>540</v>
      </c>
      <c r="I37" s="4" t="s">
        <v>540</v>
      </c>
      <c r="J37" s="4" t="s">
        <v>541</v>
      </c>
      <c r="L37" s="4" t="s">
        <v>601</v>
      </c>
      <c r="O37" s="4" t="s">
        <v>1040</v>
      </c>
      <c r="P37" s="4">
        <v>587308050</v>
      </c>
      <c r="R37" s="4">
        <v>8900</v>
      </c>
      <c r="S37">
        <f t="shared" si="0"/>
        <v>11125</v>
      </c>
      <c r="T37" s="7">
        <v>-96</v>
      </c>
      <c r="U37">
        <f t="shared" si="1"/>
        <v>445</v>
      </c>
      <c r="V37" s="15">
        <v>0.61399999999999999</v>
      </c>
      <c r="W37" s="16">
        <v>0.56999999999999995</v>
      </c>
      <c r="BB37" s="20" t="str">
        <f>HYPERLINK("https://view.gem360.in/gem360/2906230640-HN-779/gem360-2906230640-HN-779.html","https://view.gem360.in/gem360/2906230640-HN-779/gem360-2906230640-HN-779.html")</f>
        <v>https://view.gem360.in/gem360/2906230640-HN-779/gem360-2906230640-HN-779.html</v>
      </c>
    </row>
    <row r="38" spans="1:54" ht="16" x14ac:dyDescent="0.2">
      <c r="A38" s="4" t="s">
        <v>98</v>
      </c>
      <c r="B38" s="7" t="s">
        <v>536</v>
      </c>
      <c r="C38" s="4" t="s">
        <v>545</v>
      </c>
      <c r="D38" s="8">
        <v>1.23</v>
      </c>
      <c r="E38" s="9" t="s">
        <v>548</v>
      </c>
      <c r="F38" s="4" t="s">
        <v>544</v>
      </c>
      <c r="G38" s="4" t="s">
        <v>540</v>
      </c>
      <c r="H38" s="4" t="s">
        <v>540</v>
      </c>
      <c r="I38" s="4" t="s">
        <v>540</v>
      </c>
      <c r="J38" s="4" t="s">
        <v>541</v>
      </c>
      <c r="L38" s="4" t="s">
        <v>602</v>
      </c>
      <c r="O38" s="4" t="s">
        <v>1040</v>
      </c>
      <c r="P38" s="4">
        <v>591346314</v>
      </c>
      <c r="R38" s="4">
        <v>10700</v>
      </c>
      <c r="S38">
        <f t="shared" si="0"/>
        <v>13161</v>
      </c>
      <c r="T38" s="7">
        <v>-96</v>
      </c>
      <c r="U38">
        <f t="shared" si="1"/>
        <v>526.43999999999994</v>
      </c>
      <c r="V38" s="15">
        <v>0.60699999999999998</v>
      </c>
      <c r="W38" s="16">
        <v>0.61</v>
      </c>
      <c r="BB38" s="20" t="str">
        <f>HYPERLINK("https://view.gem360.in/gem360/2107230823-HN-186-38/gem360-2107230823-HN-186-38.html","https://view.gem360.in/gem360/2107230823-HN-186-38/gem360-2107230823-HN-186-38.html")</f>
        <v>https://view.gem360.in/gem360/2107230823-HN-186-38/gem360-2107230823-HN-186-38.html</v>
      </c>
    </row>
    <row r="39" spans="1:54" ht="16" x14ac:dyDescent="0.2">
      <c r="A39" s="4" t="s">
        <v>99</v>
      </c>
      <c r="B39" s="7" t="s">
        <v>536</v>
      </c>
      <c r="C39" s="4" t="s">
        <v>545</v>
      </c>
      <c r="D39" s="8">
        <v>1.23</v>
      </c>
      <c r="E39" s="9" t="s">
        <v>546</v>
      </c>
      <c r="F39" s="4" t="s">
        <v>547</v>
      </c>
      <c r="G39" s="4" t="s">
        <v>540</v>
      </c>
      <c r="H39" s="4" t="s">
        <v>540</v>
      </c>
      <c r="I39" s="4" t="s">
        <v>540</v>
      </c>
      <c r="J39" s="4" t="s">
        <v>541</v>
      </c>
      <c r="L39" s="4" t="s">
        <v>603</v>
      </c>
      <c r="O39" s="4" t="s">
        <v>1040</v>
      </c>
      <c r="P39" s="4">
        <v>587308055</v>
      </c>
      <c r="R39" s="4">
        <v>11500</v>
      </c>
      <c r="S39">
        <f t="shared" si="0"/>
        <v>14145</v>
      </c>
      <c r="T39" s="7">
        <v>-96</v>
      </c>
      <c r="U39">
        <f t="shared" si="1"/>
        <v>565.79999999999995</v>
      </c>
      <c r="V39" s="15">
        <v>0.61399999999999999</v>
      </c>
      <c r="W39" s="16">
        <v>0.57999999999999996</v>
      </c>
      <c r="BB39" s="20" t="str">
        <f>HYPERLINK("https://view.gem360.in/gem360/2906230644-HN-774/gem360-2906230644-HN-774.html","https://view.gem360.in/gem360/2906230644-HN-774/gem360-2906230644-HN-774.html")</f>
        <v>https://view.gem360.in/gem360/2906230644-HN-774/gem360-2906230644-HN-774.html</v>
      </c>
    </row>
    <row r="40" spans="1:54" ht="16" x14ac:dyDescent="0.2">
      <c r="A40" s="4" t="s">
        <v>100</v>
      </c>
      <c r="B40" s="7" t="s">
        <v>536</v>
      </c>
      <c r="C40" s="4" t="s">
        <v>545</v>
      </c>
      <c r="D40" s="8">
        <v>1.22</v>
      </c>
      <c r="E40" s="9" t="s">
        <v>546</v>
      </c>
      <c r="F40" s="4" t="s">
        <v>544</v>
      </c>
      <c r="G40" s="4" t="s">
        <v>540</v>
      </c>
      <c r="H40" s="4" t="s">
        <v>540</v>
      </c>
      <c r="I40" s="4" t="s">
        <v>540</v>
      </c>
      <c r="J40" s="4" t="s">
        <v>541</v>
      </c>
      <c r="L40" s="4" t="s">
        <v>604</v>
      </c>
      <c r="O40" s="4" t="s">
        <v>1040</v>
      </c>
      <c r="P40" s="4">
        <v>588373458</v>
      </c>
      <c r="R40" s="4">
        <v>10000</v>
      </c>
      <c r="S40">
        <f t="shared" si="0"/>
        <v>12200</v>
      </c>
      <c r="T40" s="7">
        <v>-96</v>
      </c>
      <c r="U40">
        <f t="shared" si="1"/>
        <v>488</v>
      </c>
      <c r="V40" s="15">
        <v>0.622</v>
      </c>
      <c r="W40" s="16">
        <v>0.59</v>
      </c>
      <c r="BB40" s="20" t="str">
        <f>HYPERLINK("https://view.gem360.in/gem360/0707230858-HN-7004/gem360-0707230858-HN-7004.html","https://view.gem360.in/gem360/0707230858-HN-7004/gem360-0707230858-HN-7004.html")</f>
        <v>https://view.gem360.in/gem360/0707230858-HN-7004/gem360-0707230858-HN-7004.html</v>
      </c>
    </row>
    <row r="41" spans="1:54" ht="16" x14ac:dyDescent="0.2">
      <c r="A41" s="4" t="s">
        <v>101</v>
      </c>
      <c r="B41" s="7" t="s">
        <v>536</v>
      </c>
      <c r="C41" s="4" t="s">
        <v>545</v>
      </c>
      <c r="D41" s="8">
        <v>1.21</v>
      </c>
      <c r="E41" s="9" t="s">
        <v>546</v>
      </c>
      <c r="F41" s="4" t="s">
        <v>538</v>
      </c>
      <c r="G41" s="4" t="s">
        <v>540</v>
      </c>
      <c r="H41" s="4" t="s">
        <v>540</v>
      </c>
      <c r="I41" s="4" t="s">
        <v>540</v>
      </c>
      <c r="J41" s="4" t="s">
        <v>541</v>
      </c>
      <c r="L41" s="4" t="s">
        <v>605</v>
      </c>
      <c r="O41" s="4" t="s">
        <v>1040</v>
      </c>
      <c r="P41" s="4">
        <v>571301013</v>
      </c>
      <c r="R41" s="4">
        <v>8200</v>
      </c>
      <c r="S41">
        <f t="shared" si="0"/>
        <v>9922</v>
      </c>
      <c r="T41" s="7">
        <v>-96</v>
      </c>
      <c r="U41">
        <f t="shared" si="1"/>
        <v>396.88</v>
      </c>
      <c r="V41" s="15">
        <v>0.622</v>
      </c>
      <c r="W41" s="15">
        <v>0.58499999999999996</v>
      </c>
      <c r="BB41" s="20" t="str">
        <f>HYPERLINK("https://v360.in/diamondview.aspx?cid=preet&amp;d=HN-141-76","https://v360.in/diamondview.aspx?cid=preet&amp;d=HN-141-76")</f>
        <v>https://v360.in/diamondview.aspx?cid=preet&amp;d=HN-141-76</v>
      </c>
    </row>
    <row r="42" spans="1:54" ht="16" x14ac:dyDescent="0.2">
      <c r="A42" s="4" t="s">
        <v>102</v>
      </c>
      <c r="B42" s="7" t="s">
        <v>536</v>
      </c>
      <c r="C42" s="4" t="s">
        <v>545</v>
      </c>
      <c r="D42" s="8">
        <v>1.21</v>
      </c>
      <c r="E42" s="9" t="s">
        <v>536</v>
      </c>
      <c r="F42" s="4" t="s">
        <v>544</v>
      </c>
      <c r="G42" s="4" t="s">
        <v>540</v>
      </c>
      <c r="H42" s="4" t="s">
        <v>540</v>
      </c>
      <c r="I42" s="4" t="s">
        <v>540</v>
      </c>
      <c r="J42" s="4" t="s">
        <v>541</v>
      </c>
      <c r="L42" s="4" t="s">
        <v>606</v>
      </c>
      <c r="O42" s="4" t="s">
        <v>1040</v>
      </c>
      <c r="P42" s="4">
        <v>588373454</v>
      </c>
      <c r="R42" s="4">
        <v>8900</v>
      </c>
      <c r="S42">
        <f t="shared" si="0"/>
        <v>10769</v>
      </c>
      <c r="T42" s="7">
        <v>-96</v>
      </c>
      <c r="U42">
        <f t="shared" si="1"/>
        <v>430.76</v>
      </c>
      <c r="V42" s="15">
        <v>0.61399999999999999</v>
      </c>
      <c r="W42" s="16">
        <v>0.6</v>
      </c>
      <c r="BB42" s="20" t="str">
        <f>HYPERLINK("https://view.gem360.in/gem360/0707230900-HN-796/gem360-0707230900-HN-796.html","https://view.gem360.in/gem360/0707230900-HN-796/gem360-0707230900-HN-796.html")</f>
        <v>https://view.gem360.in/gem360/0707230900-HN-796/gem360-0707230900-HN-796.html</v>
      </c>
    </row>
    <row r="43" spans="1:54" ht="16" x14ac:dyDescent="0.2">
      <c r="A43" s="4" t="s">
        <v>103</v>
      </c>
      <c r="B43" s="7" t="s">
        <v>536</v>
      </c>
      <c r="C43" s="4" t="s">
        <v>545</v>
      </c>
      <c r="D43" s="8">
        <v>1.2</v>
      </c>
      <c r="E43" s="9" t="s">
        <v>548</v>
      </c>
      <c r="F43" s="4" t="s">
        <v>547</v>
      </c>
      <c r="G43" s="4" t="s">
        <v>540</v>
      </c>
      <c r="H43" s="4" t="s">
        <v>540</v>
      </c>
      <c r="I43" s="4" t="s">
        <v>540</v>
      </c>
      <c r="J43" s="4" t="s">
        <v>541</v>
      </c>
      <c r="L43" s="4" t="s">
        <v>607</v>
      </c>
      <c r="O43" s="4" t="s">
        <v>1040</v>
      </c>
      <c r="P43" s="4">
        <v>585303889</v>
      </c>
      <c r="R43" s="4">
        <v>12500</v>
      </c>
      <c r="S43">
        <f t="shared" si="0"/>
        <v>15000</v>
      </c>
      <c r="T43" s="7">
        <v>-96</v>
      </c>
      <c r="U43">
        <f t="shared" si="1"/>
        <v>600</v>
      </c>
      <c r="V43" s="15">
        <v>0.624</v>
      </c>
      <c r="W43" s="16">
        <v>0.56999999999999995</v>
      </c>
      <c r="BB43" s="20" t="str">
        <f>HYPERLINK("https://view.gem360.in/gem360/1206230601-HN-768/gem360-1206230601-HN-768.html","https://view.gem360.in/gem360/1206230601-HN-768/gem360-1206230601-HN-768.html")</f>
        <v>https://view.gem360.in/gem360/1206230601-HN-768/gem360-1206230601-HN-768.html</v>
      </c>
    </row>
    <row r="44" spans="1:54" ht="16" x14ac:dyDescent="0.2">
      <c r="A44" s="4" t="s">
        <v>104</v>
      </c>
      <c r="B44" s="7" t="s">
        <v>536</v>
      </c>
      <c r="C44" s="4" t="s">
        <v>545</v>
      </c>
      <c r="D44" s="8">
        <v>1.19</v>
      </c>
      <c r="E44" s="9" t="s">
        <v>546</v>
      </c>
      <c r="F44" s="4" t="s">
        <v>538</v>
      </c>
      <c r="G44" s="4" t="s">
        <v>540</v>
      </c>
      <c r="H44" s="4" t="s">
        <v>540</v>
      </c>
      <c r="I44" s="4" t="s">
        <v>540</v>
      </c>
      <c r="J44" s="4" t="s">
        <v>541</v>
      </c>
      <c r="L44" s="4" t="s">
        <v>608</v>
      </c>
      <c r="O44" s="4" t="s">
        <v>1040</v>
      </c>
      <c r="P44" s="4">
        <v>581346376</v>
      </c>
      <c r="R44" s="4">
        <v>8200</v>
      </c>
      <c r="S44">
        <f t="shared" si="0"/>
        <v>9758</v>
      </c>
      <c r="T44" s="7">
        <v>-96</v>
      </c>
      <c r="U44">
        <f t="shared" si="1"/>
        <v>390.32</v>
      </c>
      <c r="V44" s="15">
        <v>0.60899999999999999</v>
      </c>
      <c r="W44" s="16">
        <v>0.61</v>
      </c>
      <c r="BB44" s="20" t="str">
        <f>HYPERLINK("https://view.gem360.in/gem360/2205230539-HN-167-49/gem360-2205230539-HN-167-49.html","https://view.gem360.in/gem360/2205230539-HN-167-49/gem360-2205230539-HN-167-49.html")</f>
        <v>https://view.gem360.in/gem360/2205230539-HN-167-49/gem360-2205230539-HN-167-49.html</v>
      </c>
    </row>
    <row r="45" spans="1:54" ht="16" x14ac:dyDescent="0.2">
      <c r="A45" s="4" t="s">
        <v>105</v>
      </c>
      <c r="B45" s="7" t="s">
        <v>536</v>
      </c>
      <c r="C45" s="4" t="s">
        <v>545</v>
      </c>
      <c r="D45" s="8">
        <v>1.18</v>
      </c>
      <c r="E45" s="9" t="s">
        <v>548</v>
      </c>
      <c r="F45" s="4" t="s">
        <v>544</v>
      </c>
      <c r="G45" s="4" t="s">
        <v>540</v>
      </c>
      <c r="H45" s="4" t="s">
        <v>540</v>
      </c>
      <c r="I45" s="4" t="s">
        <v>540</v>
      </c>
      <c r="J45" s="4" t="s">
        <v>541</v>
      </c>
      <c r="L45" s="4" t="s">
        <v>609</v>
      </c>
      <c r="O45" s="4" t="s">
        <v>1040</v>
      </c>
      <c r="P45" s="4">
        <v>591346315</v>
      </c>
      <c r="R45" s="4">
        <v>10700</v>
      </c>
      <c r="S45">
        <f t="shared" si="0"/>
        <v>12626</v>
      </c>
      <c r="T45" s="7">
        <v>-96</v>
      </c>
      <c r="U45">
        <f t="shared" si="1"/>
        <v>505.03999999999996</v>
      </c>
      <c r="V45" s="16">
        <v>0.59</v>
      </c>
      <c r="W45" s="16">
        <v>0.62</v>
      </c>
      <c r="BB45" s="20" t="str">
        <f>HYPERLINK("https://view.gem360.in/gem360/2107230826-HN-186-42/gem360-2107230826-HN-186-42.html","https://view.gem360.in/gem360/2107230826-HN-186-42/gem360-2107230826-HN-186-42.html")</f>
        <v>https://view.gem360.in/gem360/2107230826-HN-186-42/gem360-2107230826-HN-186-42.html</v>
      </c>
    </row>
    <row r="46" spans="1:54" ht="16" x14ac:dyDescent="0.2">
      <c r="A46" s="4" t="s">
        <v>106</v>
      </c>
      <c r="B46" s="7" t="s">
        <v>536</v>
      </c>
      <c r="C46" s="4" t="s">
        <v>545</v>
      </c>
      <c r="D46" s="8">
        <v>1.18</v>
      </c>
      <c r="E46" s="9" t="s">
        <v>536</v>
      </c>
      <c r="F46" s="4" t="s">
        <v>538</v>
      </c>
      <c r="G46" s="4" t="s">
        <v>540</v>
      </c>
      <c r="H46" s="4" t="s">
        <v>540</v>
      </c>
      <c r="I46" s="4" t="s">
        <v>540</v>
      </c>
      <c r="J46" s="4" t="s">
        <v>541</v>
      </c>
      <c r="L46" s="4" t="s">
        <v>610</v>
      </c>
      <c r="O46" s="4" t="s">
        <v>1040</v>
      </c>
      <c r="P46" s="4">
        <v>576332065</v>
      </c>
      <c r="R46" s="4">
        <v>7600</v>
      </c>
      <c r="S46">
        <f t="shared" si="0"/>
        <v>8968</v>
      </c>
      <c r="T46" s="7">
        <v>-96</v>
      </c>
      <c r="U46">
        <f t="shared" si="1"/>
        <v>358.71999999999997</v>
      </c>
      <c r="V46" s="15">
        <v>0.59599999999999997</v>
      </c>
      <c r="W46" s="15">
        <v>0.61499999999999999</v>
      </c>
      <c r="BB46" s="20" t="str">
        <f>HYPERLINK("https://view.gem360.in/gem360/2104230909-HN-160-57/gem360-2104230909-HN-160-57.html","https://view.gem360.in/gem360/2104230909-HN-160-57/gem360-2104230909-HN-160-57.html")</f>
        <v>https://view.gem360.in/gem360/2104230909-HN-160-57/gem360-2104230909-HN-160-57.html</v>
      </c>
    </row>
    <row r="47" spans="1:54" ht="16" x14ac:dyDescent="0.2">
      <c r="A47" s="4" t="s">
        <v>107</v>
      </c>
      <c r="B47" s="7" t="s">
        <v>536</v>
      </c>
      <c r="C47" s="4" t="s">
        <v>545</v>
      </c>
      <c r="D47" s="8">
        <v>1.18</v>
      </c>
      <c r="E47" s="9" t="s">
        <v>542</v>
      </c>
      <c r="F47" s="4" t="s">
        <v>544</v>
      </c>
      <c r="G47" s="4" t="s">
        <v>540</v>
      </c>
      <c r="H47" s="4" t="s">
        <v>540</v>
      </c>
      <c r="I47" s="4" t="s">
        <v>540</v>
      </c>
      <c r="J47" s="4" t="s">
        <v>541</v>
      </c>
      <c r="L47" s="4" t="s">
        <v>611</v>
      </c>
      <c r="O47" s="4" t="s">
        <v>1040</v>
      </c>
      <c r="P47" s="4">
        <v>549294153</v>
      </c>
      <c r="R47" s="4">
        <v>7700</v>
      </c>
      <c r="S47">
        <f t="shared" si="0"/>
        <v>9086</v>
      </c>
      <c r="T47" s="7">
        <v>-96</v>
      </c>
      <c r="U47">
        <f t="shared" si="1"/>
        <v>363.44</v>
      </c>
      <c r="V47" s="4">
        <v>62</v>
      </c>
      <c r="W47" s="4">
        <v>56</v>
      </c>
      <c r="BB47" s="20" t="str">
        <f>HYPERLINK("","")</f>
        <v/>
      </c>
    </row>
    <row r="48" spans="1:54" ht="16" x14ac:dyDescent="0.2">
      <c r="A48" s="4" t="s">
        <v>108</v>
      </c>
      <c r="B48" s="7" t="s">
        <v>536</v>
      </c>
      <c r="C48" s="4" t="s">
        <v>545</v>
      </c>
      <c r="D48" s="8">
        <v>1.17</v>
      </c>
      <c r="E48" s="9" t="s">
        <v>546</v>
      </c>
      <c r="F48" s="4" t="s">
        <v>547</v>
      </c>
      <c r="G48" s="4" t="s">
        <v>540</v>
      </c>
      <c r="H48" s="4" t="s">
        <v>540</v>
      </c>
      <c r="I48" s="4" t="s">
        <v>540</v>
      </c>
      <c r="J48" s="4" t="s">
        <v>541</v>
      </c>
      <c r="L48" s="4" t="s">
        <v>612</v>
      </c>
      <c r="O48" s="4" t="s">
        <v>1040</v>
      </c>
      <c r="P48" s="4">
        <v>583334148</v>
      </c>
      <c r="R48" s="4">
        <v>11500</v>
      </c>
      <c r="S48">
        <f t="shared" si="0"/>
        <v>13455</v>
      </c>
      <c r="T48" s="7">
        <v>-96</v>
      </c>
      <c r="U48">
        <f t="shared" si="1"/>
        <v>538.19999999999993</v>
      </c>
      <c r="V48" s="15">
        <v>0.59299999999999997</v>
      </c>
      <c r="W48" s="16">
        <v>0.61</v>
      </c>
      <c r="BB48" s="20" t="str">
        <f>HYPERLINK("https://view.gem360.in/gem360/0106230537-HN-726/gem360-0106230537-HN-726.html","https://view.gem360.in/gem360/0106230537-HN-726/gem360-0106230537-HN-726.html")</f>
        <v>https://view.gem360.in/gem360/0106230537-HN-726/gem360-0106230537-HN-726.html</v>
      </c>
    </row>
    <row r="49" spans="1:54" ht="16" x14ac:dyDescent="0.2">
      <c r="A49" s="4" t="s">
        <v>109</v>
      </c>
      <c r="B49" s="7" t="s">
        <v>536</v>
      </c>
      <c r="C49" s="4" t="s">
        <v>545</v>
      </c>
      <c r="D49" s="8">
        <v>1.1599999999999999</v>
      </c>
      <c r="E49" s="9" t="s">
        <v>546</v>
      </c>
      <c r="F49" s="4" t="s">
        <v>544</v>
      </c>
      <c r="G49" s="4" t="s">
        <v>540</v>
      </c>
      <c r="H49" s="4" t="s">
        <v>540</v>
      </c>
      <c r="I49" s="4" t="s">
        <v>540</v>
      </c>
      <c r="J49" s="4" t="s">
        <v>541</v>
      </c>
      <c r="L49" s="4" t="s">
        <v>613</v>
      </c>
      <c r="O49" s="4" t="s">
        <v>1040</v>
      </c>
      <c r="P49" s="4">
        <v>572327199</v>
      </c>
      <c r="R49" s="4">
        <v>10000</v>
      </c>
      <c r="S49">
        <f t="shared" si="0"/>
        <v>11600</v>
      </c>
      <c r="T49" s="7">
        <v>-96</v>
      </c>
      <c r="U49">
        <f t="shared" si="1"/>
        <v>463.99999999999994</v>
      </c>
      <c r="V49" s="15">
        <v>0.60699999999999998</v>
      </c>
      <c r="W49" s="15">
        <v>0.60499999999999998</v>
      </c>
      <c r="BB49" s="20" t="str">
        <f>HYPERLINK("https://v360.in/diamondview.aspx?cid=preet&amp;d=HN-151-30","https://v360.in/diamondview.aspx?cid=preet&amp;d=HN-151-30")</f>
        <v>https://v360.in/diamondview.aspx?cid=preet&amp;d=HN-151-30</v>
      </c>
    </row>
    <row r="50" spans="1:54" ht="16" x14ac:dyDescent="0.2">
      <c r="A50" s="4" t="s">
        <v>110</v>
      </c>
      <c r="B50" s="7" t="s">
        <v>536</v>
      </c>
      <c r="C50" s="4" t="s">
        <v>545</v>
      </c>
      <c r="D50" s="8">
        <v>1.1599999999999999</v>
      </c>
      <c r="E50" s="9" t="s">
        <v>546</v>
      </c>
      <c r="F50" s="4" t="s">
        <v>544</v>
      </c>
      <c r="G50" s="4" t="s">
        <v>540</v>
      </c>
      <c r="H50" s="4" t="s">
        <v>540</v>
      </c>
      <c r="I50" s="4" t="s">
        <v>540</v>
      </c>
      <c r="J50" s="4" t="s">
        <v>541</v>
      </c>
      <c r="L50" s="4" t="s">
        <v>614</v>
      </c>
      <c r="O50" s="4" t="s">
        <v>1040</v>
      </c>
      <c r="P50" s="4">
        <v>574340111</v>
      </c>
      <c r="R50" s="4">
        <v>10000</v>
      </c>
      <c r="S50">
        <f t="shared" si="0"/>
        <v>11600</v>
      </c>
      <c r="T50" s="7">
        <v>-96</v>
      </c>
      <c r="U50">
        <f t="shared" si="1"/>
        <v>463.99999999999994</v>
      </c>
      <c r="V50" s="15">
        <v>0.59899999999999998</v>
      </c>
      <c r="W50" s="15">
        <v>0.59499999999999997</v>
      </c>
      <c r="BB50" s="20" t="str">
        <f>HYPERLINK("https://view.gem360.in/gem360/0604230900-HN-154-23/gem360-0604230900-HN-154-23.html","https://view.gem360.in/gem360/0604230900-HN-154-23/gem360-0604230900-HN-154-23.html")</f>
        <v>https://view.gem360.in/gem360/0604230900-HN-154-23/gem360-0604230900-HN-154-23.html</v>
      </c>
    </row>
    <row r="51" spans="1:54" ht="16" x14ac:dyDescent="0.2">
      <c r="A51" s="4" t="s">
        <v>111</v>
      </c>
      <c r="B51" s="7" t="s">
        <v>536</v>
      </c>
      <c r="C51" s="4" t="s">
        <v>545</v>
      </c>
      <c r="D51" s="8">
        <v>1.1599999999999999</v>
      </c>
      <c r="E51" s="9" t="s">
        <v>536</v>
      </c>
      <c r="F51" s="4" t="s">
        <v>547</v>
      </c>
      <c r="G51" s="4" t="s">
        <v>540</v>
      </c>
      <c r="H51" s="4" t="s">
        <v>540</v>
      </c>
      <c r="I51" s="4" t="s">
        <v>540</v>
      </c>
      <c r="J51" s="4" t="s">
        <v>541</v>
      </c>
      <c r="L51" s="4" t="s">
        <v>615</v>
      </c>
      <c r="O51" s="4" t="s">
        <v>1040</v>
      </c>
      <c r="P51" s="4">
        <v>573396381</v>
      </c>
      <c r="R51" s="4">
        <v>10100</v>
      </c>
      <c r="S51">
        <f t="shared" si="0"/>
        <v>11716</v>
      </c>
      <c r="T51" s="7">
        <v>-96</v>
      </c>
      <c r="U51">
        <f t="shared" si="1"/>
        <v>468.64</v>
      </c>
      <c r="V51" s="15">
        <v>0.60299999999999998</v>
      </c>
      <c r="W51" s="16">
        <v>0.61</v>
      </c>
      <c r="BB51" s="20" t="str">
        <f>HYPERLINK("https://view.gem360.in/gem360/0504230644-HN-152-59/gem360-0504230644-HN-152-59.html","https://view.gem360.in/gem360/0504230644-HN-152-59/gem360-0504230644-HN-152-59.html")</f>
        <v>https://view.gem360.in/gem360/0504230644-HN-152-59/gem360-0504230644-HN-152-59.html</v>
      </c>
    </row>
    <row r="52" spans="1:54" ht="16" x14ac:dyDescent="0.2">
      <c r="A52" s="4" t="s">
        <v>112</v>
      </c>
      <c r="B52" s="7" t="s">
        <v>536</v>
      </c>
      <c r="C52" s="4" t="s">
        <v>545</v>
      </c>
      <c r="D52" s="8">
        <v>1.1599999999999999</v>
      </c>
      <c r="E52" s="9" t="s">
        <v>536</v>
      </c>
      <c r="F52" s="4" t="s">
        <v>538</v>
      </c>
      <c r="G52" s="4" t="s">
        <v>540</v>
      </c>
      <c r="H52" s="4" t="s">
        <v>540</v>
      </c>
      <c r="I52" s="4" t="s">
        <v>540</v>
      </c>
      <c r="J52" s="4" t="s">
        <v>541</v>
      </c>
      <c r="L52" s="4" t="s">
        <v>616</v>
      </c>
      <c r="O52" s="4" t="s">
        <v>1040</v>
      </c>
      <c r="P52" s="4">
        <v>573396379</v>
      </c>
      <c r="R52" s="4">
        <v>7600</v>
      </c>
      <c r="S52">
        <f t="shared" si="0"/>
        <v>8816</v>
      </c>
      <c r="T52" s="7">
        <v>-96</v>
      </c>
      <c r="U52">
        <f t="shared" si="1"/>
        <v>352.64</v>
      </c>
      <c r="V52" s="15">
        <v>0.61699999999999999</v>
      </c>
      <c r="W52" s="16">
        <v>0.61</v>
      </c>
      <c r="BB52" s="20" t="str">
        <f>HYPERLINK("https://view.gem360.in/gem360/0504230647-HN-152-45/gem360-0504230647-HN-152-45.html","https://view.gem360.in/gem360/0504230647-HN-152-45/gem360-0504230647-HN-152-45.html")</f>
        <v>https://view.gem360.in/gem360/0504230647-HN-152-45/gem360-0504230647-HN-152-45.html</v>
      </c>
    </row>
    <row r="53" spans="1:54" ht="16" x14ac:dyDescent="0.2">
      <c r="A53" s="4" t="s">
        <v>113</v>
      </c>
      <c r="B53" s="7" t="s">
        <v>536</v>
      </c>
      <c r="C53" s="4" t="s">
        <v>545</v>
      </c>
      <c r="D53" s="8">
        <v>1.1499999999999999</v>
      </c>
      <c r="E53" s="9" t="s">
        <v>546</v>
      </c>
      <c r="F53" s="4" t="s">
        <v>544</v>
      </c>
      <c r="G53" s="4" t="s">
        <v>540</v>
      </c>
      <c r="H53" s="4" t="s">
        <v>540</v>
      </c>
      <c r="I53" s="4" t="s">
        <v>540</v>
      </c>
      <c r="J53" s="4" t="s">
        <v>541</v>
      </c>
      <c r="L53" s="4" t="s">
        <v>617</v>
      </c>
      <c r="O53" s="4" t="s">
        <v>1040</v>
      </c>
      <c r="P53" s="4">
        <v>566393798</v>
      </c>
      <c r="R53" s="4">
        <v>10000</v>
      </c>
      <c r="S53">
        <f t="shared" si="0"/>
        <v>11500</v>
      </c>
      <c r="T53" s="7">
        <v>-96</v>
      </c>
      <c r="U53">
        <f t="shared" si="1"/>
        <v>459.99999999999994</v>
      </c>
      <c r="V53" s="15">
        <v>0.61899999999999999</v>
      </c>
      <c r="W53" s="15">
        <v>0.58499999999999996</v>
      </c>
      <c r="BB53" s="20" t="str">
        <f>HYPERLINK("https://v360.in/diamondview.aspx?cid=preet&amp;d=HN-135-73","https://v360.in/diamondview.aspx?cid=preet&amp;d=HN-135-73")</f>
        <v>https://v360.in/diamondview.aspx?cid=preet&amp;d=HN-135-73</v>
      </c>
    </row>
    <row r="54" spans="1:54" ht="16" x14ac:dyDescent="0.2">
      <c r="A54" s="4" t="s">
        <v>114</v>
      </c>
      <c r="B54" s="7" t="s">
        <v>536</v>
      </c>
      <c r="C54" s="4" t="s">
        <v>545</v>
      </c>
      <c r="D54" s="8">
        <v>1.1399999999999999</v>
      </c>
      <c r="E54" s="9" t="s">
        <v>548</v>
      </c>
      <c r="F54" s="4" t="s">
        <v>544</v>
      </c>
      <c r="G54" s="4" t="s">
        <v>540</v>
      </c>
      <c r="H54" s="4" t="s">
        <v>540</v>
      </c>
      <c r="I54" s="4" t="s">
        <v>540</v>
      </c>
      <c r="J54" s="4" t="s">
        <v>541</v>
      </c>
      <c r="L54" s="4" t="s">
        <v>618</v>
      </c>
      <c r="O54" s="4" t="s">
        <v>1040</v>
      </c>
      <c r="P54" s="4">
        <v>587308053</v>
      </c>
      <c r="R54" s="4">
        <v>10700</v>
      </c>
      <c r="S54">
        <f t="shared" si="0"/>
        <v>12197.999999999998</v>
      </c>
      <c r="T54" s="7">
        <v>-96</v>
      </c>
      <c r="U54">
        <f t="shared" si="1"/>
        <v>487.91999999999996</v>
      </c>
      <c r="V54" s="15">
        <v>0.60399999999999998</v>
      </c>
      <c r="W54" s="16">
        <v>0.6</v>
      </c>
      <c r="BB54" s="20" t="str">
        <f>HYPERLINK("https://view.gem360.in/gem360/2906230646-HN-776/gem360-2906230646-HN-776.html","https://view.gem360.in/gem360/2906230646-HN-776/gem360-2906230646-HN-776.html")</f>
        <v>https://view.gem360.in/gem360/2906230646-HN-776/gem360-2906230646-HN-776.html</v>
      </c>
    </row>
    <row r="55" spans="1:54" ht="16" x14ac:dyDescent="0.2">
      <c r="A55" s="4" t="s">
        <v>115</v>
      </c>
      <c r="B55" s="7" t="s">
        <v>536</v>
      </c>
      <c r="C55" s="4" t="s">
        <v>545</v>
      </c>
      <c r="D55" s="8">
        <v>1.1399999999999999</v>
      </c>
      <c r="E55" s="9" t="s">
        <v>546</v>
      </c>
      <c r="F55" s="4" t="s">
        <v>549</v>
      </c>
      <c r="G55" s="4" t="s">
        <v>540</v>
      </c>
      <c r="H55" s="4" t="s">
        <v>540</v>
      </c>
      <c r="I55" s="4" t="s">
        <v>540</v>
      </c>
      <c r="J55" s="4" t="s">
        <v>541</v>
      </c>
      <c r="L55" s="4" t="s">
        <v>619</v>
      </c>
      <c r="O55" s="4" t="s">
        <v>1040</v>
      </c>
      <c r="P55" s="4">
        <v>528205273</v>
      </c>
      <c r="R55" s="4">
        <v>6400</v>
      </c>
      <c r="S55">
        <f t="shared" si="0"/>
        <v>7295.9999999999991</v>
      </c>
      <c r="T55" s="7">
        <v>-96</v>
      </c>
      <c r="U55">
        <f t="shared" si="1"/>
        <v>291.83999999999997</v>
      </c>
      <c r="V55" s="15">
        <v>0.63300000000000001</v>
      </c>
      <c r="W55" s="15">
        <v>0.57499999999999996</v>
      </c>
      <c r="BB55" s="20" t="str">
        <f>HYPERLINK("https://view.gem360.in/gem360/2005220505-HN44-163/gem360-2005220505-HN44-163.html","https://view.gem360.in/gem360/2005220505-HN44-163/gem360-2005220505-HN44-163.html")</f>
        <v>https://view.gem360.in/gem360/2005220505-HN44-163/gem360-2005220505-HN44-163.html</v>
      </c>
    </row>
    <row r="56" spans="1:54" ht="16" x14ac:dyDescent="0.2">
      <c r="A56" s="4" t="s">
        <v>116</v>
      </c>
      <c r="B56" s="7" t="s">
        <v>536</v>
      </c>
      <c r="C56" s="4" t="s">
        <v>545</v>
      </c>
      <c r="D56" s="8">
        <v>1.1299999999999999</v>
      </c>
      <c r="E56" s="9" t="s">
        <v>546</v>
      </c>
      <c r="F56" s="4" t="s">
        <v>544</v>
      </c>
      <c r="G56" s="4" t="s">
        <v>540</v>
      </c>
      <c r="H56" s="4" t="s">
        <v>540</v>
      </c>
      <c r="I56" s="4" t="s">
        <v>540</v>
      </c>
      <c r="J56" s="4" t="s">
        <v>541</v>
      </c>
      <c r="L56" s="4" t="s">
        <v>620</v>
      </c>
      <c r="O56" s="4" t="s">
        <v>1040</v>
      </c>
      <c r="P56" s="4">
        <v>573311715</v>
      </c>
      <c r="R56" s="4">
        <v>10000</v>
      </c>
      <c r="S56">
        <f t="shared" si="0"/>
        <v>11299.999999999998</v>
      </c>
      <c r="T56" s="7">
        <v>-96</v>
      </c>
      <c r="U56">
        <f t="shared" si="1"/>
        <v>451.99999999999994</v>
      </c>
      <c r="V56" s="16">
        <v>0.6</v>
      </c>
      <c r="W56" s="15">
        <v>0.59499999999999997</v>
      </c>
      <c r="BB56" s="20" t="str">
        <f>HYPERLINK("https://view.gem360.in/gem360/0504230650-HN-153-19/gem360-0504230650-HN-153-19.html","https://view.gem360.in/gem360/0504230650-HN-153-19/gem360-0504230650-HN-153-19.html")</f>
        <v>https://view.gem360.in/gem360/0504230650-HN-153-19/gem360-0504230650-HN-153-19.html</v>
      </c>
    </row>
    <row r="57" spans="1:54" ht="16" x14ac:dyDescent="0.2">
      <c r="A57" s="4" t="s">
        <v>117</v>
      </c>
      <c r="B57" s="7" t="s">
        <v>536</v>
      </c>
      <c r="C57" s="4" t="s">
        <v>545</v>
      </c>
      <c r="D57" s="8">
        <v>1.1299999999999999</v>
      </c>
      <c r="E57" s="9" t="s">
        <v>536</v>
      </c>
      <c r="F57" s="4" t="s">
        <v>544</v>
      </c>
      <c r="G57" s="4" t="s">
        <v>540</v>
      </c>
      <c r="H57" s="4" t="s">
        <v>540</v>
      </c>
      <c r="I57" s="4" t="s">
        <v>540</v>
      </c>
      <c r="J57" s="4" t="s">
        <v>541</v>
      </c>
      <c r="L57" s="4" t="s">
        <v>621</v>
      </c>
      <c r="O57" s="4" t="s">
        <v>1040</v>
      </c>
      <c r="P57" s="4">
        <v>570376216</v>
      </c>
      <c r="R57" s="4">
        <v>8900</v>
      </c>
      <c r="S57">
        <f t="shared" si="0"/>
        <v>10056.999999999998</v>
      </c>
      <c r="T57" s="7">
        <v>-96</v>
      </c>
      <c r="U57">
        <f t="shared" si="1"/>
        <v>402.28</v>
      </c>
      <c r="V57" s="15">
        <v>0.624</v>
      </c>
      <c r="W57" s="16">
        <v>0.61</v>
      </c>
      <c r="BB57" s="20" t="str">
        <f>HYPERLINK("https://view.gem360.in/gem360/0304230720-HN-142-117/gem360-0304230720-HN-142-117.html","https://view.gem360.in/gem360/0304230720-HN-142-117/gem360-0304230720-HN-142-117.html")</f>
        <v>https://view.gem360.in/gem360/0304230720-HN-142-117/gem360-0304230720-HN-142-117.html</v>
      </c>
    </row>
    <row r="58" spans="1:54" ht="16" x14ac:dyDescent="0.2">
      <c r="A58" s="4" t="s">
        <v>118</v>
      </c>
      <c r="B58" s="7" t="s">
        <v>536</v>
      </c>
      <c r="C58" s="4" t="s">
        <v>545</v>
      </c>
      <c r="D58" s="8">
        <v>1.1200000000000001</v>
      </c>
      <c r="E58" s="9" t="s">
        <v>548</v>
      </c>
      <c r="F58" s="4" t="s">
        <v>544</v>
      </c>
      <c r="G58" s="4" t="s">
        <v>540</v>
      </c>
      <c r="H58" s="4" t="s">
        <v>540</v>
      </c>
      <c r="I58" s="4" t="s">
        <v>540</v>
      </c>
      <c r="J58" s="4" t="s">
        <v>541</v>
      </c>
      <c r="L58" s="4" t="s">
        <v>622</v>
      </c>
      <c r="O58" s="4" t="s">
        <v>1040</v>
      </c>
      <c r="P58" s="4">
        <v>591346309</v>
      </c>
      <c r="R58" s="4">
        <v>10700</v>
      </c>
      <c r="S58">
        <f t="shared" si="0"/>
        <v>11984.000000000002</v>
      </c>
      <c r="T58" s="7">
        <v>-96</v>
      </c>
      <c r="U58">
        <f t="shared" si="1"/>
        <v>479.36000000000007</v>
      </c>
      <c r="V58" s="15">
        <v>0.61299999999999999</v>
      </c>
      <c r="W58" s="16">
        <v>0.62</v>
      </c>
      <c r="BB58" s="20" t="str">
        <f>HYPERLINK("https://view.gem360.in/gem360/2107230902-HN-186-74/gem360-2107230902-HN-186-74.html","https://view.gem360.in/gem360/2107230902-HN-186-74/gem360-2107230902-HN-186-74.html")</f>
        <v>https://view.gem360.in/gem360/2107230902-HN-186-74/gem360-2107230902-HN-186-74.html</v>
      </c>
    </row>
    <row r="59" spans="1:54" ht="16" x14ac:dyDescent="0.2">
      <c r="A59" s="4" t="s">
        <v>119</v>
      </c>
      <c r="B59" s="7" t="s">
        <v>536</v>
      </c>
      <c r="C59" s="4" t="s">
        <v>545</v>
      </c>
      <c r="D59" s="8">
        <v>1.1200000000000001</v>
      </c>
      <c r="E59" s="9" t="s">
        <v>536</v>
      </c>
      <c r="F59" s="4" t="s">
        <v>538</v>
      </c>
      <c r="G59" s="4" t="s">
        <v>540</v>
      </c>
      <c r="H59" s="4" t="s">
        <v>540</v>
      </c>
      <c r="I59" s="4" t="s">
        <v>540</v>
      </c>
      <c r="J59" s="4" t="s">
        <v>541</v>
      </c>
      <c r="L59" s="4" t="s">
        <v>623</v>
      </c>
      <c r="O59" s="4" t="s">
        <v>1040</v>
      </c>
      <c r="P59" s="4">
        <v>575396048</v>
      </c>
      <c r="R59" s="4">
        <v>7600</v>
      </c>
      <c r="S59">
        <f t="shared" si="0"/>
        <v>8512</v>
      </c>
      <c r="T59" s="7">
        <v>-96</v>
      </c>
      <c r="U59">
        <f t="shared" si="1"/>
        <v>340.48</v>
      </c>
      <c r="V59" s="15">
        <v>0.60599999999999998</v>
      </c>
      <c r="W59" s="16">
        <v>0.59</v>
      </c>
      <c r="BB59" s="20" t="str">
        <f>HYPERLINK("https://view.gem360.in/gem360/1304230530-HN-159-44/gem360-1304230530-HN-159-44.html","https://view.gem360.in/gem360/1304230530-HN-159-44/gem360-1304230530-HN-159-44.html")</f>
        <v>https://view.gem360.in/gem360/1304230530-HN-159-44/gem360-1304230530-HN-159-44.html</v>
      </c>
    </row>
    <row r="60" spans="1:54" ht="16" x14ac:dyDescent="0.2">
      <c r="A60" s="4" t="s">
        <v>120</v>
      </c>
      <c r="B60" s="7" t="s">
        <v>536</v>
      </c>
      <c r="C60" s="4" t="s">
        <v>545</v>
      </c>
      <c r="D60" s="8">
        <v>1.1100000000000001</v>
      </c>
      <c r="E60" s="9" t="s">
        <v>546</v>
      </c>
      <c r="F60" s="4" t="s">
        <v>547</v>
      </c>
      <c r="G60" s="4" t="s">
        <v>540</v>
      </c>
      <c r="H60" s="4" t="s">
        <v>540</v>
      </c>
      <c r="I60" s="4" t="s">
        <v>540</v>
      </c>
      <c r="J60" s="4" t="s">
        <v>541</v>
      </c>
      <c r="L60" s="4" t="s">
        <v>624</v>
      </c>
      <c r="O60" s="4" t="s">
        <v>1040</v>
      </c>
      <c r="P60" s="4">
        <v>588373428</v>
      </c>
      <c r="R60" s="4">
        <v>11500</v>
      </c>
      <c r="S60">
        <f t="shared" si="0"/>
        <v>12765.000000000002</v>
      </c>
      <c r="T60" s="7">
        <v>-96</v>
      </c>
      <c r="U60">
        <f t="shared" si="1"/>
        <v>510.6</v>
      </c>
      <c r="V60" s="15">
        <v>0.61099999999999999</v>
      </c>
      <c r="W60" s="16">
        <v>0.59</v>
      </c>
      <c r="BB60" s="20" t="str">
        <f>HYPERLINK("https://view.gem360.in/gem360/0707230903-HN-791/gem360-0707230903-HN-791.html","https://view.gem360.in/gem360/0707230903-HN-791/gem360-0707230903-HN-791.html")</f>
        <v>https://view.gem360.in/gem360/0707230903-HN-791/gem360-0707230903-HN-791.html</v>
      </c>
    </row>
    <row r="61" spans="1:54" ht="16" x14ac:dyDescent="0.2">
      <c r="A61" s="4" t="s">
        <v>121</v>
      </c>
      <c r="B61" s="7" t="s">
        <v>536</v>
      </c>
      <c r="C61" s="4" t="s">
        <v>545</v>
      </c>
      <c r="D61" s="8">
        <v>1.1100000000000001</v>
      </c>
      <c r="E61" s="9" t="s">
        <v>536</v>
      </c>
      <c r="F61" s="4" t="s">
        <v>544</v>
      </c>
      <c r="G61" s="4" t="s">
        <v>540</v>
      </c>
      <c r="H61" s="4" t="s">
        <v>540</v>
      </c>
      <c r="I61" s="4" t="s">
        <v>540</v>
      </c>
      <c r="J61" s="4" t="s">
        <v>541</v>
      </c>
      <c r="L61" s="4" t="s">
        <v>625</v>
      </c>
      <c r="O61" s="4" t="s">
        <v>1040</v>
      </c>
      <c r="P61" s="4">
        <v>585329952</v>
      </c>
      <c r="R61" s="4">
        <v>8900</v>
      </c>
      <c r="S61">
        <f t="shared" si="0"/>
        <v>9879</v>
      </c>
      <c r="T61" s="7">
        <v>-96</v>
      </c>
      <c r="U61">
        <f t="shared" si="1"/>
        <v>395.16</v>
      </c>
      <c r="V61" s="15">
        <v>0.59699999999999998</v>
      </c>
      <c r="W61" s="16">
        <v>0.62</v>
      </c>
      <c r="BB61" s="20" t="str">
        <f>HYPERLINK("https://view.gem360.in/gem360/2106230505-HN-169-95/gem360-2106230505-HN-169-95.html","https://view.gem360.in/gem360/2106230505-HN-169-95/gem360-2106230505-HN-169-95.html")</f>
        <v>https://view.gem360.in/gem360/2106230505-HN-169-95/gem360-2106230505-HN-169-95.html</v>
      </c>
    </row>
    <row r="62" spans="1:54" ht="16" x14ac:dyDescent="0.2">
      <c r="A62" s="4" t="s">
        <v>122</v>
      </c>
      <c r="B62" s="7" t="s">
        <v>536</v>
      </c>
      <c r="C62" s="4" t="s">
        <v>545</v>
      </c>
      <c r="D62" s="8">
        <v>1.0900000000000001</v>
      </c>
      <c r="E62" s="9" t="s">
        <v>548</v>
      </c>
      <c r="F62" s="4" t="s">
        <v>547</v>
      </c>
      <c r="G62" s="4" t="s">
        <v>540</v>
      </c>
      <c r="H62" s="4" t="s">
        <v>540</v>
      </c>
      <c r="I62" s="4" t="s">
        <v>540</v>
      </c>
      <c r="J62" s="4" t="s">
        <v>541</v>
      </c>
      <c r="L62" s="4" t="s">
        <v>626</v>
      </c>
      <c r="O62" s="4" t="s">
        <v>1040</v>
      </c>
      <c r="P62" s="4">
        <v>588373426</v>
      </c>
      <c r="R62" s="4">
        <v>12500</v>
      </c>
      <c r="S62">
        <f t="shared" si="0"/>
        <v>13625.000000000002</v>
      </c>
      <c r="T62" s="7">
        <v>-96</v>
      </c>
      <c r="U62">
        <f t="shared" si="1"/>
        <v>545</v>
      </c>
      <c r="V62" s="16">
        <v>0.62</v>
      </c>
      <c r="W62" s="16">
        <v>0.57999999999999996</v>
      </c>
      <c r="BB62" s="20" t="str">
        <f>HYPERLINK("https://view.gem360.in/gem360/0707230907-HN-795/gem360-0707230907-HN-795.html","https://view.gem360.in/gem360/0707230907-HN-795/gem360-0707230907-HN-795.html")</f>
        <v>https://view.gem360.in/gem360/0707230907-HN-795/gem360-0707230907-HN-795.html</v>
      </c>
    </row>
    <row r="63" spans="1:54" ht="16" x14ac:dyDescent="0.2">
      <c r="A63" s="4" t="s">
        <v>123</v>
      </c>
      <c r="B63" s="7" t="s">
        <v>536</v>
      </c>
      <c r="C63" s="4" t="s">
        <v>545</v>
      </c>
      <c r="D63" s="8">
        <v>1.0900000000000001</v>
      </c>
      <c r="E63" s="9" t="s">
        <v>548</v>
      </c>
      <c r="F63" s="4" t="s">
        <v>538</v>
      </c>
      <c r="G63" s="4" t="s">
        <v>540</v>
      </c>
      <c r="H63" s="4" t="s">
        <v>540</v>
      </c>
      <c r="I63" s="4" t="s">
        <v>540</v>
      </c>
      <c r="J63" s="4" t="s">
        <v>541</v>
      </c>
      <c r="L63" s="4" t="s">
        <v>627</v>
      </c>
      <c r="O63" s="4" t="s">
        <v>1040</v>
      </c>
      <c r="P63" s="4">
        <v>588373457</v>
      </c>
      <c r="R63" s="4">
        <v>8700</v>
      </c>
      <c r="S63">
        <f t="shared" si="0"/>
        <v>9483</v>
      </c>
      <c r="T63" s="7">
        <v>-96</v>
      </c>
      <c r="U63">
        <f t="shared" si="1"/>
        <v>379.32000000000005</v>
      </c>
      <c r="V63" s="16">
        <v>0.6</v>
      </c>
      <c r="W63" s="16">
        <v>0.6</v>
      </c>
      <c r="BB63" s="20" t="str">
        <f>HYPERLINK("https://view.gem360.in/gem360/0707230906-HN-799/gem360-0707230906-HN-799.html","https://view.gem360.in/gem360/0707230906-HN-799/gem360-0707230906-HN-799.html")</f>
        <v>https://view.gem360.in/gem360/0707230906-HN-799/gem360-0707230906-HN-799.html</v>
      </c>
    </row>
    <row r="64" spans="1:54" ht="16" x14ac:dyDescent="0.2">
      <c r="A64" s="4" t="s">
        <v>124</v>
      </c>
      <c r="B64" s="7" t="s">
        <v>536</v>
      </c>
      <c r="C64" s="4" t="s">
        <v>545</v>
      </c>
      <c r="D64" s="8">
        <v>1.0900000000000001</v>
      </c>
      <c r="E64" s="9" t="s">
        <v>548</v>
      </c>
      <c r="F64" s="4" t="s">
        <v>538</v>
      </c>
      <c r="G64" s="4" t="s">
        <v>540</v>
      </c>
      <c r="H64" s="4" t="s">
        <v>540</v>
      </c>
      <c r="I64" s="4" t="s">
        <v>540</v>
      </c>
      <c r="J64" s="4" t="s">
        <v>541</v>
      </c>
      <c r="L64" s="4" t="s">
        <v>628</v>
      </c>
      <c r="O64" s="4" t="s">
        <v>1040</v>
      </c>
      <c r="P64" s="4">
        <v>591346311</v>
      </c>
      <c r="R64" s="4">
        <v>8700</v>
      </c>
      <c r="S64">
        <f t="shared" si="0"/>
        <v>9483</v>
      </c>
      <c r="T64" s="7">
        <v>-96</v>
      </c>
      <c r="U64">
        <f t="shared" si="1"/>
        <v>379.32000000000005</v>
      </c>
      <c r="V64" s="15">
        <v>0.61099999999999999</v>
      </c>
      <c r="W64" s="16">
        <v>0.6</v>
      </c>
      <c r="BB64" s="20" t="str">
        <f>HYPERLINK("https://view.gem360.in/gem360/2107230837-HN-186-22/gem360-2107230837-HN-186-22.html","https://view.gem360.in/gem360/2107230837-HN-186-22/gem360-2107230837-HN-186-22.html")</f>
        <v>https://view.gem360.in/gem360/2107230837-HN-186-22/gem360-2107230837-HN-186-22.html</v>
      </c>
    </row>
    <row r="65" spans="1:54" ht="16" x14ac:dyDescent="0.2">
      <c r="A65" s="4" t="s">
        <v>125</v>
      </c>
      <c r="B65" s="7" t="s">
        <v>536</v>
      </c>
      <c r="C65" s="4" t="s">
        <v>545</v>
      </c>
      <c r="D65" s="8">
        <v>1.0900000000000001</v>
      </c>
      <c r="E65" s="9" t="s">
        <v>546</v>
      </c>
      <c r="F65" s="4" t="s">
        <v>544</v>
      </c>
      <c r="G65" s="4" t="s">
        <v>540</v>
      </c>
      <c r="H65" s="4" t="s">
        <v>540</v>
      </c>
      <c r="I65" s="4" t="s">
        <v>540</v>
      </c>
      <c r="J65" s="4" t="s">
        <v>541</v>
      </c>
      <c r="L65" s="4" t="s">
        <v>629</v>
      </c>
      <c r="O65" s="4" t="s">
        <v>1040</v>
      </c>
      <c r="P65" s="4">
        <v>572327198</v>
      </c>
      <c r="R65" s="4">
        <v>10000</v>
      </c>
      <c r="S65">
        <f t="shared" si="0"/>
        <v>10900</v>
      </c>
      <c r="T65" s="7">
        <v>-96</v>
      </c>
      <c r="U65">
        <f t="shared" si="1"/>
        <v>436.00000000000006</v>
      </c>
      <c r="V65" s="15">
        <v>0.59599999999999997</v>
      </c>
      <c r="W65" s="15">
        <v>0.61499999999999999</v>
      </c>
      <c r="BB65" s="20" t="str">
        <f>HYPERLINK("https://v360.in/diamondview.aspx?cid=preet&amp;d=HN-151-29","https://v360.in/diamondview.aspx?cid=preet&amp;d=HN-151-29")</f>
        <v>https://v360.in/diamondview.aspx?cid=preet&amp;d=HN-151-29</v>
      </c>
    </row>
    <row r="66" spans="1:54" ht="16" x14ac:dyDescent="0.2">
      <c r="A66" s="4" t="s">
        <v>126</v>
      </c>
      <c r="B66" s="7" t="s">
        <v>536</v>
      </c>
      <c r="C66" s="4" t="s">
        <v>545</v>
      </c>
      <c r="D66" s="8">
        <v>1.0900000000000001</v>
      </c>
      <c r="E66" s="9" t="s">
        <v>546</v>
      </c>
      <c r="F66" s="4" t="s">
        <v>549</v>
      </c>
      <c r="G66" s="4" t="s">
        <v>540</v>
      </c>
      <c r="H66" s="4" t="s">
        <v>540</v>
      </c>
      <c r="I66" s="4" t="s">
        <v>540</v>
      </c>
      <c r="J66" s="4" t="s">
        <v>541</v>
      </c>
      <c r="L66" s="4" t="s">
        <v>630</v>
      </c>
      <c r="O66" s="4" t="s">
        <v>1040</v>
      </c>
      <c r="P66" s="4">
        <v>573311717</v>
      </c>
      <c r="R66" s="4">
        <v>6400</v>
      </c>
      <c r="S66">
        <f t="shared" si="0"/>
        <v>6976.0000000000009</v>
      </c>
      <c r="T66" s="7">
        <v>-96</v>
      </c>
      <c r="U66">
        <f t="shared" si="1"/>
        <v>279.04000000000002</v>
      </c>
      <c r="V66" s="15">
        <v>0.60299999999999998</v>
      </c>
      <c r="W66" s="15">
        <v>0.60499999999999998</v>
      </c>
      <c r="BB66" s="20" t="str">
        <f>HYPERLINK("https://view.gem360.in/gem360/0504230653-HN-153-59/gem360-0504230653-HN-153-59.html","https://view.gem360.in/gem360/0504230653-HN-153-59/gem360-0504230653-HN-153-59.html")</f>
        <v>https://view.gem360.in/gem360/0504230653-HN-153-59/gem360-0504230653-HN-153-59.html</v>
      </c>
    </row>
    <row r="67" spans="1:54" ht="16" x14ac:dyDescent="0.2">
      <c r="A67" s="4" t="s">
        <v>127</v>
      </c>
      <c r="B67" s="7" t="s">
        <v>536</v>
      </c>
      <c r="C67" s="4" t="s">
        <v>545</v>
      </c>
      <c r="D67" s="8">
        <v>1.08</v>
      </c>
      <c r="E67" s="9" t="s">
        <v>536</v>
      </c>
      <c r="F67" s="4" t="s">
        <v>538</v>
      </c>
      <c r="G67" s="4" t="s">
        <v>540</v>
      </c>
      <c r="H67" s="4" t="s">
        <v>540</v>
      </c>
      <c r="I67" s="4" t="s">
        <v>540</v>
      </c>
      <c r="J67" s="4" t="s">
        <v>541</v>
      </c>
      <c r="L67" s="4" t="s">
        <v>631</v>
      </c>
      <c r="O67" s="4" t="s">
        <v>1040</v>
      </c>
      <c r="P67" s="4">
        <v>574340115</v>
      </c>
      <c r="R67" s="4">
        <v>7600</v>
      </c>
      <c r="S67">
        <f t="shared" ref="S67:S130" si="2">R67*D67</f>
        <v>8208</v>
      </c>
      <c r="T67" s="7">
        <v>-96</v>
      </c>
      <c r="U67">
        <f t="shared" ref="U67:U130" si="3">(R67+(R67*T67)/100)*D67</f>
        <v>328.32000000000005</v>
      </c>
      <c r="V67" s="15">
        <v>0.59399999999999997</v>
      </c>
      <c r="W67" s="16">
        <v>0.61</v>
      </c>
      <c r="BB67" s="20" t="str">
        <f>HYPERLINK("https://view.gem360.in/gem360/0604230907-HN-154-12/gem360-0604230907-HN-154-12.html","https://view.gem360.in/gem360/0604230907-HN-154-12/gem360-0604230907-HN-154-12.html")</f>
        <v>https://view.gem360.in/gem360/0604230907-HN-154-12/gem360-0604230907-HN-154-12.html</v>
      </c>
    </row>
    <row r="68" spans="1:54" ht="16" x14ac:dyDescent="0.2">
      <c r="A68" s="4" t="s">
        <v>128</v>
      </c>
      <c r="B68" s="7" t="s">
        <v>536</v>
      </c>
      <c r="C68" s="4" t="s">
        <v>545</v>
      </c>
      <c r="D68" s="8">
        <v>1.07</v>
      </c>
      <c r="E68" s="9" t="s">
        <v>546</v>
      </c>
      <c r="F68" s="4" t="s">
        <v>544</v>
      </c>
      <c r="G68" s="4" t="s">
        <v>540</v>
      </c>
      <c r="H68" s="4" t="s">
        <v>540</v>
      </c>
      <c r="I68" s="4" t="s">
        <v>540</v>
      </c>
      <c r="J68" s="4" t="s">
        <v>541</v>
      </c>
      <c r="L68" s="4" t="s">
        <v>632</v>
      </c>
      <c r="O68" s="4" t="s">
        <v>1040</v>
      </c>
      <c r="P68" s="4">
        <v>588374092</v>
      </c>
      <c r="R68" s="4">
        <v>10000</v>
      </c>
      <c r="S68">
        <f t="shared" si="2"/>
        <v>10700</v>
      </c>
      <c r="T68" s="7">
        <v>-96</v>
      </c>
      <c r="U68">
        <f t="shared" si="3"/>
        <v>428</v>
      </c>
      <c r="V68" s="15">
        <v>0.60199999999999998</v>
      </c>
      <c r="W68" s="16">
        <v>0.61</v>
      </c>
      <c r="BB68" s="20" t="str">
        <f>HYPERLINK("https://view.gem360.in/gem360/1207230527-HN-181-7/gem360-1207230527-HN-181-7.html","https://view.gem360.in/gem360/1207230527-HN-181-7/gem360-1207230527-HN-181-7.html")</f>
        <v>https://view.gem360.in/gem360/1207230527-HN-181-7/gem360-1207230527-HN-181-7.html</v>
      </c>
    </row>
    <row r="69" spans="1:54" ht="16" x14ac:dyDescent="0.2">
      <c r="A69" s="4" t="s">
        <v>129</v>
      </c>
      <c r="B69" s="7" t="s">
        <v>536</v>
      </c>
      <c r="C69" s="4" t="s">
        <v>545</v>
      </c>
      <c r="D69" s="8">
        <v>1.07</v>
      </c>
      <c r="E69" s="9" t="s">
        <v>536</v>
      </c>
      <c r="F69" s="4" t="s">
        <v>544</v>
      </c>
      <c r="G69" s="4" t="s">
        <v>540</v>
      </c>
      <c r="H69" s="4" t="s">
        <v>540</v>
      </c>
      <c r="I69" s="4" t="s">
        <v>540</v>
      </c>
      <c r="J69" s="4" t="s">
        <v>541</v>
      </c>
      <c r="L69" s="4" t="s">
        <v>633</v>
      </c>
      <c r="O69" s="4" t="s">
        <v>1040</v>
      </c>
      <c r="P69" s="4">
        <v>574340112</v>
      </c>
      <c r="R69" s="4">
        <v>8900</v>
      </c>
      <c r="S69">
        <f t="shared" si="2"/>
        <v>9523</v>
      </c>
      <c r="T69" s="7">
        <v>-96</v>
      </c>
      <c r="U69">
        <f t="shared" si="3"/>
        <v>380.92</v>
      </c>
      <c r="V69" s="15">
        <v>0.58599999999999997</v>
      </c>
      <c r="W69" s="15">
        <v>0.625</v>
      </c>
      <c r="BB69" s="20" t="str">
        <f>HYPERLINK("https://view.gem360.in/gem360/0604230910-HN-154-13/gem360-0604230910-HN-154-13.html","https://view.gem360.in/gem360/0604230910-HN-154-13/gem360-0604230910-HN-154-13.html")</f>
        <v>https://view.gem360.in/gem360/0604230910-HN-154-13/gem360-0604230910-HN-154-13.html</v>
      </c>
    </row>
    <row r="70" spans="1:54" ht="16" x14ac:dyDescent="0.2">
      <c r="A70" s="4" t="s">
        <v>130</v>
      </c>
      <c r="B70" s="7" t="s">
        <v>536</v>
      </c>
      <c r="C70" s="4" t="s">
        <v>545</v>
      </c>
      <c r="D70" s="8">
        <v>1.06</v>
      </c>
      <c r="E70" s="9" t="s">
        <v>548</v>
      </c>
      <c r="F70" s="4" t="s">
        <v>544</v>
      </c>
      <c r="G70" s="4" t="s">
        <v>540</v>
      </c>
      <c r="H70" s="4" t="s">
        <v>540</v>
      </c>
      <c r="I70" s="4" t="s">
        <v>540</v>
      </c>
      <c r="J70" s="4" t="s">
        <v>541</v>
      </c>
      <c r="L70" s="4" t="s">
        <v>634</v>
      </c>
      <c r="O70" s="4" t="s">
        <v>1040</v>
      </c>
      <c r="P70" s="4">
        <v>583334153</v>
      </c>
      <c r="R70" s="4">
        <v>10700</v>
      </c>
      <c r="S70">
        <f t="shared" si="2"/>
        <v>11342</v>
      </c>
      <c r="T70" s="7">
        <v>-96</v>
      </c>
      <c r="U70">
        <f t="shared" si="3"/>
        <v>453.68</v>
      </c>
      <c r="V70" s="15">
        <v>0.59199999999999997</v>
      </c>
      <c r="W70" s="16">
        <v>0.61</v>
      </c>
      <c r="BB70" s="20" t="str">
        <f>HYPERLINK("https://view.gem360.in/gem360/0106230530-HN-730/gem360-0106230530-HN-730.html","https://view.gem360.in/gem360/0106230530-HN-730/gem360-0106230530-HN-730.html")</f>
        <v>https://view.gem360.in/gem360/0106230530-HN-730/gem360-0106230530-HN-730.html</v>
      </c>
    </row>
    <row r="71" spans="1:54" ht="16" x14ac:dyDescent="0.2">
      <c r="A71" s="4" t="s">
        <v>131</v>
      </c>
      <c r="B71" s="7" t="s">
        <v>536</v>
      </c>
      <c r="C71" s="4" t="s">
        <v>545</v>
      </c>
      <c r="D71" s="8">
        <v>1.06</v>
      </c>
      <c r="E71" s="9" t="s">
        <v>536</v>
      </c>
      <c r="F71" s="4" t="s">
        <v>544</v>
      </c>
      <c r="G71" s="4" t="s">
        <v>540</v>
      </c>
      <c r="H71" s="4" t="s">
        <v>540</v>
      </c>
      <c r="I71" s="4" t="s">
        <v>540</v>
      </c>
      <c r="J71" s="4" t="s">
        <v>541</v>
      </c>
      <c r="L71" s="4" t="s">
        <v>635</v>
      </c>
      <c r="O71" s="4" t="s">
        <v>1040</v>
      </c>
      <c r="P71" s="4">
        <v>587308049</v>
      </c>
      <c r="R71" s="4">
        <v>8900</v>
      </c>
      <c r="S71">
        <f t="shared" si="2"/>
        <v>9434</v>
      </c>
      <c r="T71" s="7">
        <v>-96</v>
      </c>
      <c r="U71">
        <f t="shared" si="3"/>
        <v>377.36</v>
      </c>
      <c r="V71" s="15">
        <v>0.60499999999999998</v>
      </c>
      <c r="W71" s="16">
        <v>0.6</v>
      </c>
      <c r="BB71" s="20" t="str">
        <f>HYPERLINK("https://view.gem360.in/gem360/2906230651-HN-780/gem360-2906230651-HN-780.html","https://view.gem360.in/gem360/2906230651-HN-780/gem360-2906230651-HN-780.html")</f>
        <v>https://view.gem360.in/gem360/2906230651-HN-780/gem360-2906230651-HN-780.html</v>
      </c>
    </row>
    <row r="72" spans="1:54" ht="16" x14ac:dyDescent="0.2">
      <c r="A72" s="4" t="s">
        <v>132</v>
      </c>
      <c r="B72" s="7" t="s">
        <v>536</v>
      </c>
      <c r="C72" s="4" t="s">
        <v>545</v>
      </c>
      <c r="D72" s="8">
        <v>1.04</v>
      </c>
      <c r="E72" s="9" t="s">
        <v>546</v>
      </c>
      <c r="F72" s="4" t="s">
        <v>549</v>
      </c>
      <c r="G72" s="4" t="s">
        <v>540</v>
      </c>
      <c r="H72" s="4" t="s">
        <v>540</v>
      </c>
      <c r="I72" s="4" t="s">
        <v>540</v>
      </c>
      <c r="J72" s="4" t="s">
        <v>541</v>
      </c>
      <c r="L72" s="4" t="s">
        <v>636</v>
      </c>
      <c r="O72" s="4" t="s">
        <v>1040</v>
      </c>
      <c r="P72" s="4">
        <v>581346374</v>
      </c>
      <c r="R72" s="4">
        <v>6400</v>
      </c>
      <c r="S72">
        <f t="shared" si="2"/>
        <v>6656</v>
      </c>
      <c r="T72" s="7">
        <v>-96</v>
      </c>
      <c r="U72">
        <f t="shared" si="3"/>
        <v>266.24</v>
      </c>
      <c r="V72" s="15">
        <v>0.63300000000000001</v>
      </c>
      <c r="W72" s="16">
        <v>0.57999999999999996</v>
      </c>
      <c r="BB72" s="20" t="str">
        <f>HYPERLINK("https://view.gem360.in/gem360/2205230617-HN-167-39/gem360-2205230617-HN-167-39.html","https://view.gem360.in/gem360/2205230617-HN-167-39/gem360-2205230617-HN-167-39.html")</f>
        <v>https://view.gem360.in/gem360/2205230617-HN-167-39/gem360-2205230617-HN-167-39.html</v>
      </c>
    </row>
    <row r="73" spans="1:54" ht="16" x14ac:dyDescent="0.2">
      <c r="A73" s="4" t="s">
        <v>133</v>
      </c>
      <c r="B73" s="7" t="s">
        <v>536</v>
      </c>
      <c r="C73" s="4" t="s">
        <v>545</v>
      </c>
      <c r="D73" s="8">
        <v>1.03</v>
      </c>
      <c r="E73" s="9" t="s">
        <v>548</v>
      </c>
      <c r="F73" s="4" t="s">
        <v>547</v>
      </c>
      <c r="G73" s="4" t="s">
        <v>540</v>
      </c>
      <c r="H73" s="4" t="s">
        <v>540</v>
      </c>
      <c r="I73" s="4" t="s">
        <v>540</v>
      </c>
      <c r="J73" s="4" t="s">
        <v>541</v>
      </c>
      <c r="L73" s="4" t="s">
        <v>637</v>
      </c>
      <c r="O73" s="4" t="s">
        <v>1040</v>
      </c>
      <c r="P73" s="4">
        <v>591346310</v>
      </c>
      <c r="R73" s="4">
        <v>12500</v>
      </c>
      <c r="S73">
        <f t="shared" si="2"/>
        <v>12875</v>
      </c>
      <c r="T73" s="7">
        <v>-96</v>
      </c>
      <c r="U73">
        <f t="shared" si="3"/>
        <v>515</v>
      </c>
      <c r="V73" s="15">
        <v>0.61499999999999999</v>
      </c>
      <c r="W73" s="16">
        <v>0.6</v>
      </c>
      <c r="BB73" s="20" t="str">
        <f>HYPERLINK("https://view.gem360.in/gem360/2107230845-HN-184-16/gem360-2107230845-HN-184-16.html","https://view.gem360.in/gem360/2107230845-HN-184-16/gem360-2107230845-HN-184-16.html")</f>
        <v>https://view.gem360.in/gem360/2107230845-HN-184-16/gem360-2107230845-HN-184-16.html</v>
      </c>
    </row>
    <row r="74" spans="1:54" ht="16" x14ac:dyDescent="0.2">
      <c r="A74" s="4" t="s">
        <v>134</v>
      </c>
      <c r="B74" s="7" t="s">
        <v>536</v>
      </c>
      <c r="C74" s="4" t="s">
        <v>545</v>
      </c>
      <c r="D74" s="8">
        <v>1.03</v>
      </c>
      <c r="E74" s="9" t="s">
        <v>548</v>
      </c>
      <c r="F74" s="4" t="s">
        <v>544</v>
      </c>
      <c r="G74" s="4" t="s">
        <v>540</v>
      </c>
      <c r="H74" s="4" t="s">
        <v>540</v>
      </c>
      <c r="I74" s="4" t="s">
        <v>540</v>
      </c>
      <c r="J74" s="4" t="s">
        <v>541</v>
      </c>
      <c r="L74" s="4" t="s">
        <v>638</v>
      </c>
      <c r="O74" s="4" t="s">
        <v>1040</v>
      </c>
      <c r="P74" s="4">
        <v>591346313</v>
      </c>
      <c r="R74" s="4">
        <v>10700</v>
      </c>
      <c r="S74">
        <f t="shared" si="2"/>
        <v>11021</v>
      </c>
      <c r="T74" s="7">
        <v>-96</v>
      </c>
      <c r="U74">
        <f t="shared" si="3"/>
        <v>440.84000000000003</v>
      </c>
      <c r="V74" s="15">
        <v>0.60099999999999998</v>
      </c>
      <c r="W74" s="16">
        <v>0.62</v>
      </c>
      <c r="BB74" s="20" t="str">
        <f>HYPERLINK("https://view.gem360.in/gem360/2107230841-HN-18430/gem360-2107230841-HN-18430.html","https://view.gem360.in/gem360/2107230841-HN-18430/gem360-2107230841-HN-18430.html")</f>
        <v>https://view.gem360.in/gem360/2107230841-HN-18430/gem360-2107230841-HN-18430.html</v>
      </c>
    </row>
    <row r="75" spans="1:54" ht="16" x14ac:dyDescent="0.2">
      <c r="A75" s="4" t="s">
        <v>135</v>
      </c>
      <c r="B75" s="7" t="s">
        <v>536</v>
      </c>
      <c r="C75" s="4" t="s">
        <v>545</v>
      </c>
      <c r="D75" s="8">
        <v>1.02</v>
      </c>
      <c r="E75" s="9" t="s">
        <v>548</v>
      </c>
      <c r="F75" s="4" t="s">
        <v>549</v>
      </c>
      <c r="G75" s="4" t="s">
        <v>540</v>
      </c>
      <c r="H75" s="4" t="s">
        <v>540</v>
      </c>
      <c r="I75" s="4" t="s">
        <v>540</v>
      </c>
      <c r="J75" s="4" t="s">
        <v>541</v>
      </c>
      <c r="L75" s="4" t="s">
        <v>639</v>
      </c>
      <c r="O75" s="4" t="s">
        <v>1040</v>
      </c>
      <c r="P75" s="4">
        <v>589311142</v>
      </c>
      <c r="R75" s="4">
        <v>6800</v>
      </c>
      <c r="S75">
        <f t="shared" si="2"/>
        <v>6936</v>
      </c>
      <c r="T75" s="7">
        <v>-96</v>
      </c>
      <c r="U75">
        <f t="shared" si="3"/>
        <v>277.44</v>
      </c>
      <c r="V75" s="15">
        <v>0.60299999999999998</v>
      </c>
      <c r="W75" s="16">
        <v>0.57999999999999996</v>
      </c>
      <c r="BB75" s="20" t="str">
        <f>HYPERLINK("https://view.gem360.in/gem360/2107230847-HN-182-36/gem360-2107230847-HN-182-36.html","https://view.gem360.in/gem360/2107230847-HN-182-36/gem360-2107230847-HN-182-36.html")</f>
        <v>https://view.gem360.in/gem360/2107230847-HN-182-36/gem360-2107230847-HN-182-36.html</v>
      </c>
    </row>
    <row r="76" spans="1:54" ht="16" x14ac:dyDescent="0.2">
      <c r="A76" s="4" t="s">
        <v>136</v>
      </c>
      <c r="B76" s="7" t="s">
        <v>536</v>
      </c>
      <c r="C76" s="4" t="s">
        <v>545</v>
      </c>
      <c r="D76" s="8">
        <v>1.02</v>
      </c>
      <c r="E76" s="9" t="s">
        <v>546</v>
      </c>
      <c r="F76" s="4" t="s">
        <v>549</v>
      </c>
      <c r="G76" s="4" t="s">
        <v>540</v>
      </c>
      <c r="H76" s="4" t="s">
        <v>551</v>
      </c>
      <c r="I76" s="4" t="s">
        <v>540</v>
      </c>
      <c r="J76" s="4" t="s">
        <v>541</v>
      </c>
      <c r="L76" s="4" t="s">
        <v>640</v>
      </c>
      <c r="O76" s="4" t="s">
        <v>1040</v>
      </c>
      <c r="P76" s="4">
        <v>588374093</v>
      </c>
      <c r="R76" s="4">
        <v>6400</v>
      </c>
      <c r="S76">
        <f t="shared" si="2"/>
        <v>6528</v>
      </c>
      <c r="T76" s="7">
        <v>-96</v>
      </c>
      <c r="U76">
        <f t="shared" si="3"/>
        <v>261.12</v>
      </c>
      <c r="V76" s="15">
        <v>0.59899999999999998</v>
      </c>
      <c r="W76" s="16">
        <v>0.61</v>
      </c>
      <c r="BB76" s="20" t="str">
        <f>HYPERLINK("https://view.gem360.in/gem360/1207230529-HN-181-22/gem360-1207230529-HN-181-22.html","https://view.gem360.in/gem360/1207230529-HN-181-22/gem360-1207230529-HN-181-22.html")</f>
        <v>https://view.gem360.in/gem360/1207230529-HN-181-22/gem360-1207230529-HN-181-22.html</v>
      </c>
    </row>
    <row r="77" spans="1:54" ht="16" x14ac:dyDescent="0.2">
      <c r="A77" s="4" t="s">
        <v>137</v>
      </c>
      <c r="B77" s="7" t="s">
        <v>536</v>
      </c>
      <c r="C77" s="4" t="s">
        <v>545</v>
      </c>
      <c r="D77" s="8">
        <v>1.02</v>
      </c>
      <c r="E77" s="9" t="s">
        <v>536</v>
      </c>
      <c r="F77" s="4" t="s">
        <v>544</v>
      </c>
      <c r="G77" s="4" t="s">
        <v>540</v>
      </c>
      <c r="H77" s="4" t="s">
        <v>540</v>
      </c>
      <c r="I77" s="4" t="s">
        <v>540</v>
      </c>
      <c r="J77" s="4" t="s">
        <v>541</v>
      </c>
      <c r="L77" s="4" t="s">
        <v>641</v>
      </c>
      <c r="O77" s="4" t="s">
        <v>1040</v>
      </c>
      <c r="P77" s="4">
        <v>588373421</v>
      </c>
      <c r="R77" s="4">
        <v>8900</v>
      </c>
      <c r="S77">
        <f t="shared" si="2"/>
        <v>9078</v>
      </c>
      <c r="T77" s="7">
        <v>-96</v>
      </c>
      <c r="U77">
        <f t="shared" si="3"/>
        <v>363.12</v>
      </c>
      <c r="V77" s="15">
        <v>0.623</v>
      </c>
      <c r="W77" s="16">
        <v>0.57999999999999996</v>
      </c>
      <c r="BB77" s="20" t="str">
        <f>HYPERLINK("https://view.gem360.in/gem360/0707230913-HN-7005/gem360-0707230913-HN-7005.html","https://view.gem360.in/gem360/0707230913-HN-7005/gem360-0707230913-HN-7005.html")</f>
        <v>https://view.gem360.in/gem360/0707230913-HN-7005/gem360-0707230913-HN-7005.html</v>
      </c>
    </row>
    <row r="78" spans="1:54" ht="16" x14ac:dyDescent="0.2">
      <c r="A78" s="4" t="s">
        <v>138</v>
      </c>
      <c r="B78" s="7" t="s">
        <v>536</v>
      </c>
      <c r="C78" s="4" t="s">
        <v>545</v>
      </c>
      <c r="D78" s="8">
        <v>1.01</v>
      </c>
      <c r="E78" s="9" t="s">
        <v>548</v>
      </c>
      <c r="F78" s="4" t="s">
        <v>547</v>
      </c>
      <c r="G78" s="4" t="s">
        <v>540</v>
      </c>
      <c r="H78" s="4" t="s">
        <v>540</v>
      </c>
      <c r="I78" s="4" t="s">
        <v>540</v>
      </c>
      <c r="J78" s="4" t="s">
        <v>541</v>
      </c>
      <c r="L78" s="4" t="s">
        <v>642</v>
      </c>
      <c r="O78" s="4" t="s">
        <v>1040</v>
      </c>
      <c r="P78" s="4">
        <v>591346316</v>
      </c>
      <c r="R78" s="4">
        <v>12500</v>
      </c>
      <c r="S78">
        <f t="shared" si="2"/>
        <v>12625</v>
      </c>
      <c r="T78" s="7">
        <v>-96</v>
      </c>
      <c r="U78">
        <f t="shared" si="3"/>
        <v>505</v>
      </c>
      <c r="V78" s="16">
        <v>0.61</v>
      </c>
      <c r="W78" s="16">
        <v>0.61</v>
      </c>
      <c r="BB78" s="20" t="str">
        <f>HYPERLINK("https://view.gem360.in/gem360/2107230850-HN-184-43/gem360-2107230850-HN-184-43.html","https://view.gem360.in/gem360/2107230850-HN-184-43/gem360-2107230850-HN-184-43.html")</f>
        <v>https://view.gem360.in/gem360/2107230850-HN-184-43/gem360-2107230850-HN-184-43.html</v>
      </c>
    </row>
    <row r="79" spans="1:54" ht="16" x14ac:dyDescent="0.2">
      <c r="A79" s="4" t="s">
        <v>139</v>
      </c>
      <c r="B79" s="7" t="s">
        <v>536</v>
      </c>
      <c r="C79" s="4" t="s">
        <v>545</v>
      </c>
      <c r="D79" s="8">
        <v>1.01</v>
      </c>
      <c r="E79" s="9" t="s">
        <v>548</v>
      </c>
      <c r="F79" s="4" t="s">
        <v>544</v>
      </c>
      <c r="G79" s="4" t="s">
        <v>540</v>
      </c>
      <c r="H79" s="4" t="s">
        <v>540</v>
      </c>
      <c r="I79" s="4" t="s">
        <v>540</v>
      </c>
      <c r="J79" s="4" t="s">
        <v>541</v>
      </c>
      <c r="L79" s="4" t="s">
        <v>643</v>
      </c>
      <c r="O79" s="4" t="s">
        <v>1040</v>
      </c>
      <c r="P79" s="4">
        <v>588377515</v>
      </c>
      <c r="R79" s="4">
        <v>10700</v>
      </c>
      <c r="S79">
        <f t="shared" si="2"/>
        <v>10807</v>
      </c>
      <c r="T79" s="7">
        <v>-96</v>
      </c>
      <c r="U79">
        <f t="shared" si="3"/>
        <v>432.28000000000003</v>
      </c>
      <c r="V79" s="15">
        <v>0.61499999999999999</v>
      </c>
      <c r="W79" s="16">
        <v>0.59</v>
      </c>
      <c r="BB79" s="20" t="str">
        <f>HYPERLINK("https://view.gem360.in/gem360/1107231037-HN-7016/gem360-1107231037-HN-7016.html","https://view.gem360.in/gem360/1107231037-HN-7016/gem360-1107231037-HN-7016.html")</f>
        <v>https://view.gem360.in/gem360/1107231037-HN-7016/gem360-1107231037-HN-7016.html</v>
      </c>
    </row>
    <row r="80" spans="1:54" ht="16" x14ac:dyDescent="0.2">
      <c r="A80" s="4" t="s">
        <v>140</v>
      </c>
      <c r="B80" s="7" t="s">
        <v>536</v>
      </c>
      <c r="C80" s="4" t="s">
        <v>545</v>
      </c>
      <c r="D80" s="8">
        <v>1.01</v>
      </c>
      <c r="E80" s="9" t="s">
        <v>548</v>
      </c>
      <c r="F80" s="4" t="s">
        <v>544</v>
      </c>
      <c r="G80" s="4" t="s">
        <v>540</v>
      </c>
      <c r="H80" s="4" t="s">
        <v>540</v>
      </c>
      <c r="I80" s="4" t="s">
        <v>540</v>
      </c>
      <c r="J80" s="4" t="s">
        <v>541</v>
      </c>
      <c r="L80" s="4" t="s">
        <v>644</v>
      </c>
      <c r="O80" s="4" t="s">
        <v>1040</v>
      </c>
      <c r="P80" s="4">
        <v>588374094</v>
      </c>
      <c r="R80" s="4">
        <v>10700</v>
      </c>
      <c r="S80">
        <f t="shared" si="2"/>
        <v>10807</v>
      </c>
      <c r="T80" s="7">
        <v>-96</v>
      </c>
      <c r="U80">
        <f t="shared" si="3"/>
        <v>432.28000000000003</v>
      </c>
      <c r="V80" s="15">
        <v>0.60699999999999998</v>
      </c>
      <c r="W80" s="16">
        <v>0.61</v>
      </c>
      <c r="BB80" s="20" t="str">
        <f>HYPERLINK("https://view.gem360.in/gem360/1207230534-HN-181-39/gem360-1207230534-HN-181-39.html","https://view.gem360.in/gem360/1207230534-HN-181-39/gem360-1207230534-HN-181-39.html")</f>
        <v>https://view.gem360.in/gem360/1207230534-HN-181-39/gem360-1207230534-HN-181-39.html</v>
      </c>
    </row>
    <row r="81" spans="1:54" ht="16" x14ac:dyDescent="0.2">
      <c r="A81" s="4" t="s">
        <v>141</v>
      </c>
      <c r="B81" s="7" t="s">
        <v>536</v>
      </c>
      <c r="C81" s="4" t="s">
        <v>545</v>
      </c>
      <c r="D81" s="8">
        <v>1.01</v>
      </c>
      <c r="E81" s="9" t="s">
        <v>546</v>
      </c>
      <c r="F81" s="4" t="s">
        <v>538</v>
      </c>
      <c r="G81" s="4" t="s">
        <v>540</v>
      </c>
      <c r="H81" s="4" t="s">
        <v>540</v>
      </c>
      <c r="I81" s="4" t="s">
        <v>540</v>
      </c>
      <c r="J81" s="4" t="s">
        <v>541</v>
      </c>
      <c r="L81" s="4" t="s">
        <v>645</v>
      </c>
      <c r="O81" s="4" t="s">
        <v>1040</v>
      </c>
      <c r="P81" s="4">
        <v>587308054</v>
      </c>
      <c r="R81" s="4">
        <v>8200</v>
      </c>
      <c r="S81">
        <f t="shared" si="2"/>
        <v>8282</v>
      </c>
      <c r="T81" s="7">
        <v>-96</v>
      </c>
      <c r="U81">
        <f t="shared" si="3"/>
        <v>331.28000000000003</v>
      </c>
      <c r="V81" s="15">
        <v>0.60499999999999998</v>
      </c>
      <c r="W81" s="16">
        <v>0.6</v>
      </c>
      <c r="BB81" s="20" t="str">
        <f>HYPERLINK("https://view.gem360.in/gem360/2906230654-HN-775/gem360-2906230654-HN-775.html","https://view.gem360.in/gem360/2906230654-HN-775/gem360-2906230654-HN-775.html")</f>
        <v>https://view.gem360.in/gem360/2906230654-HN-775/gem360-2906230654-HN-775.html</v>
      </c>
    </row>
    <row r="82" spans="1:54" ht="16" x14ac:dyDescent="0.2">
      <c r="A82" s="4" t="s">
        <v>142</v>
      </c>
      <c r="B82" s="7" t="s">
        <v>536</v>
      </c>
      <c r="C82" s="4" t="s">
        <v>545</v>
      </c>
      <c r="D82" s="8">
        <v>1.01</v>
      </c>
      <c r="E82" s="9" t="s">
        <v>536</v>
      </c>
      <c r="F82" s="4" t="s">
        <v>538</v>
      </c>
      <c r="G82" s="4" t="s">
        <v>540</v>
      </c>
      <c r="H82" s="4" t="s">
        <v>540</v>
      </c>
      <c r="I82" s="4" t="s">
        <v>540</v>
      </c>
      <c r="J82" s="4" t="s">
        <v>541</v>
      </c>
      <c r="L82" s="4" t="s">
        <v>646</v>
      </c>
      <c r="O82" s="4" t="s">
        <v>1040</v>
      </c>
      <c r="P82" s="4">
        <v>576332055</v>
      </c>
      <c r="R82" s="4">
        <v>7600</v>
      </c>
      <c r="S82">
        <f t="shared" si="2"/>
        <v>7676</v>
      </c>
      <c r="T82" s="7">
        <v>-96</v>
      </c>
      <c r="U82">
        <f t="shared" si="3"/>
        <v>307.04000000000002</v>
      </c>
      <c r="V82" s="15">
        <v>0.61399999999999999</v>
      </c>
      <c r="W82" s="16">
        <v>0.61</v>
      </c>
      <c r="BB82" s="20" t="str">
        <f>HYPERLINK("https://view.gem360.in/gem360/2104230700-HN-160-78/gem360-2104230700-HN-160-78.html","https://view.gem360.in/gem360/2104230700-HN-160-78/gem360-2104230700-HN-160-78.html")</f>
        <v>https://view.gem360.in/gem360/2104230700-HN-160-78/gem360-2104230700-HN-160-78.html</v>
      </c>
    </row>
    <row r="83" spans="1:54" ht="16" x14ac:dyDescent="0.2">
      <c r="A83" s="4" t="s">
        <v>143</v>
      </c>
      <c r="B83" s="7" t="s">
        <v>536</v>
      </c>
      <c r="C83" s="4" t="s">
        <v>545</v>
      </c>
      <c r="D83" s="8">
        <v>1</v>
      </c>
      <c r="E83" s="9" t="s">
        <v>548</v>
      </c>
      <c r="F83" s="4" t="s">
        <v>538</v>
      </c>
      <c r="G83" s="4" t="s">
        <v>540</v>
      </c>
      <c r="H83" s="4" t="s">
        <v>540</v>
      </c>
      <c r="I83" s="4" t="s">
        <v>540</v>
      </c>
      <c r="J83" s="4" t="s">
        <v>541</v>
      </c>
      <c r="L83" s="4" t="s">
        <v>647</v>
      </c>
      <c r="O83" s="4" t="s">
        <v>1040</v>
      </c>
      <c r="P83" s="4">
        <v>591346312</v>
      </c>
      <c r="R83" s="4">
        <v>8700</v>
      </c>
      <c r="S83">
        <f t="shared" si="2"/>
        <v>8700</v>
      </c>
      <c r="T83" s="7">
        <v>-96</v>
      </c>
      <c r="U83">
        <f t="shared" si="3"/>
        <v>348</v>
      </c>
      <c r="V83" s="16">
        <v>0.59</v>
      </c>
      <c r="W83" s="16">
        <v>0.61</v>
      </c>
      <c r="BB83" s="20" t="str">
        <f>HYPERLINK("https://view.gem360.in/gem360/2107230855-HN-184-29/gem360-2107230855-HN-184-29.html","https://view.gem360.in/gem360/2107230855-HN-184-29/gem360-2107230855-HN-184-29.html")</f>
        <v>https://view.gem360.in/gem360/2107230855-HN-184-29/gem360-2107230855-HN-184-29.html</v>
      </c>
    </row>
    <row r="84" spans="1:54" ht="16" x14ac:dyDescent="0.2">
      <c r="A84" s="4" t="s">
        <v>144</v>
      </c>
      <c r="B84" s="7" t="s">
        <v>536</v>
      </c>
      <c r="C84" s="4" t="s">
        <v>545</v>
      </c>
      <c r="D84" s="8">
        <v>1</v>
      </c>
      <c r="E84" s="9" t="s">
        <v>548</v>
      </c>
      <c r="F84" s="4" t="s">
        <v>544</v>
      </c>
      <c r="G84" s="4" t="s">
        <v>540</v>
      </c>
      <c r="H84" s="4" t="s">
        <v>540</v>
      </c>
      <c r="I84" s="4" t="s">
        <v>551</v>
      </c>
      <c r="J84" s="4" t="s">
        <v>541</v>
      </c>
      <c r="L84" s="4" t="s">
        <v>648</v>
      </c>
      <c r="O84" s="4" t="s">
        <v>1040</v>
      </c>
      <c r="P84" s="4">
        <v>584379527</v>
      </c>
      <c r="R84" s="4">
        <v>10700</v>
      </c>
      <c r="S84">
        <f t="shared" si="2"/>
        <v>10700</v>
      </c>
      <c r="T84" s="7">
        <v>-96</v>
      </c>
      <c r="U84">
        <f t="shared" si="3"/>
        <v>428</v>
      </c>
      <c r="V84" s="15">
        <v>0.622</v>
      </c>
      <c r="W84" s="16">
        <v>0.6</v>
      </c>
      <c r="BB84" s="20" t="str">
        <f>HYPERLINK("https://view.gem360.in/gem360/0706230528-HN-741/gem360-0706230528-HN-741.html","https://view.gem360.in/gem360/0706230528-HN-741/gem360-0706230528-HN-741.html")</f>
        <v>https://view.gem360.in/gem360/0706230528-HN-741/gem360-0706230528-HN-741.html</v>
      </c>
    </row>
    <row r="85" spans="1:54" ht="16" x14ac:dyDescent="0.2">
      <c r="A85" s="4" t="s">
        <v>145</v>
      </c>
      <c r="B85" s="7" t="s">
        <v>536</v>
      </c>
      <c r="C85" s="4" t="s">
        <v>545</v>
      </c>
      <c r="D85" s="8">
        <v>1</v>
      </c>
      <c r="E85" s="9" t="s">
        <v>548</v>
      </c>
      <c r="F85" s="4" t="s">
        <v>544</v>
      </c>
      <c r="G85" s="4" t="s">
        <v>540</v>
      </c>
      <c r="H85" s="4" t="s">
        <v>540</v>
      </c>
      <c r="I85" s="4" t="s">
        <v>540</v>
      </c>
      <c r="J85" s="4" t="s">
        <v>541</v>
      </c>
      <c r="L85" s="4" t="s">
        <v>649</v>
      </c>
      <c r="O85" s="4" t="s">
        <v>1040</v>
      </c>
      <c r="P85" s="4">
        <v>585303884</v>
      </c>
      <c r="R85" s="4">
        <v>10700</v>
      </c>
      <c r="S85">
        <f t="shared" si="2"/>
        <v>10700</v>
      </c>
      <c r="T85" s="7">
        <v>-96</v>
      </c>
      <c r="U85">
        <f t="shared" si="3"/>
        <v>428</v>
      </c>
      <c r="V85" s="15">
        <v>0.626</v>
      </c>
      <c r="W85" s="16">
        <v>0.57999999999999996</v>
      </c>
      <c r="BB85" s="20" t="str">
        <f>HYPERLINK("https://view.gem360.in/gem360/1206230606-HN-754/gem360-1206230606-HN-754.html","https://view.gem360.in/gem360/1206230606-HN-754/gem360-1206230606-HN-754.html")</f>
        <v>https://view.gem360.in/gem360/1206230606-HN-754/gem360-1206230606-HN-754.html</v>
      </c>
    </row>
    <row r="86" spans="1:54" ht="16" x14ac:dyDescent="0.2">
      <c r="A86" s="4" t="s">
        <v>146</v>
      </c>
      <c r="B86" s="7" t="s">
        <v>536</v>
      </c>
      <c r="C86" s="4" t="s">
        <v>545</v>
      </c>
      <c r="D86" s="8">
        <v>1</v>
      </c>
      <c r="E86" s="9" t="s">
        <v>548</v>
      </c>
      <c r="F86" s="4" t="s">
        <v>544</v>
      </c>
      <c r="G86" s="4" t="s">
        <v>551</v>
      </c>
      <c r="H86" s="4" t="s">
        <v>540</v>
      </c>
      <c r="I86" s="4" t="s">
        <v>551</v>
      </c>
      <c r="J86" s="4" t="s">
        <v>541</v>
      </c>
      <c r="L86" s="4" t="s">
        <v>650</v>
      </c>
      <c r="O86" s="4" t="s">
        <v>1040</v>
      </c>
      <c r="P86" s="4">
        <v>583334140</v>
      </c>
      <c r="R86" s="4">
        <v>10700</v>
      </c>
      <c r="S86">
        <f t="shared" si="2"/>
        <v>10700</v>
      </c>
      <c r="T86" s="7">
        <v>-96</v>
      </c>
      <c r="U86">
        <f t="shared" si="3"/>
        <v>428</v>
      </c>
      <c r="V86" s="15">
        <v>0.622</v>
      </c>
      <c r="W86" s="16">
        <v>0.62</v>
      </c>
      <c r="BB86" s="20" t="str">
        <f>HYPERLINK("https://view.gem360.in/gem360/0106230557-HN-702/gem360-0106230557-HN-702.html","https://view.gem360.in/gem360/0106230557-HN-702/gem360-0106230557-HN-702.html")</f>
        <v>https://view.gem360.in/gem360/0106230557-HN-702/gem360-0106230557-HN-702.html</v>
      </c>
    </row>
    <row r="87" spans="1:54" ht="16" x14ac:dyDescent="0.2">
      <c r="A87" s="4" t="s">
        <v>147</v>
      </c>
      <c r="B87" s="7" t="s">
        <v>536</v>
      </c>
      <c r="C87" s="4" t="s">
        <v>545</v>
      </c>
      <c r="D87" s="8">
        <v>1</v>
      </c>
      <c r="E87" s="9" t="s">
        <v>546</v>
      </c>
      <c r="F87" s="4" t="s">
        <v>538</v>
      </c>
      <c r="G87" s="4" t="s">
        <v>540</v>
      </c>
      <c r="H87" s="4" t="s">
        <v>540</v>
      </c>
      <c r="I87" s="4" t="s">
        <v>540</v>
      </c>
      <c r="J87" s="4" t="s">
        <v>541</v>
      </c>
      <c r="L87" s="4" t="s">
        <v>651</v>
      </c>
      <c r="O87" s="4" t="s">
        <v>1040</v>
      </c>
      <c r="P87" s="4">
        <v>581346370</v>
      </c>
      <c r="R87" s="4">
        <v>8200</v>
      </c>
      <c r="S87">
        <f t="shared" si="2"/>
        <v>8200</v>
      </c>
      <c r="T87" s="7">
        <v>-96</v>
      </c>
      <c r="U87">
        <f t="shared" si="3"/>
        <v>328</v>
      </c>
      <c r="V87" s="16">
        <v>0.63</v>
      </c>
      <c r="W87" s="16">
        <v>0.59</v>
      </c>
      <c r="BB87" s="20" t="str">
        <f>HYPERLINK("https://view.gem360.in/gem360/2205230601-HN-166-19/gem360-2205230601-HN-166-19.html","https://view.gem360.in/gem360/2205230601-HN-166-19/gem360-2205230601-HN-166-19.html")</f>
        <v>https://view.gem360.in/gem360/2205230601-HN-166-19/gem360-2205230601-HN-166-19.html</v>
      </c>
    </row>
    <row r="88" spans="1:54" ht="16" x14ac:dyDescent="0.2">
      <c r="A88" s="4" t="s">
        <v>148</v>
      </c>
      <c r="B88" s="7" t="s">
        <v>536</v>
      </c>
      <c r="C88" s="4" t="s">
        <v>545</v>
      </c>
      <c r="D88" s="8">
        <v>1</v>
      </c>
      <c r="E88" s="9" t="s">
        <v>546</v>
      </c>
      <c r="F88" s="4" t="s">
        <v>544</v>
      </c>
      <c r="G88" s="4" t="s">
        <v>551</v>
      </c>
      <c r="H88" s="4" t="s">
        <v>540</v>
      </c>
      <c r="I88" s="4" t="s">
        <v>540</v>
      </c>
      <c r="J88" s="4" t="s">
        <v>541</v>
      </c>
      <c r="L88" s="4" t="s">
        <v>652</v>
      </c>
      <c r="O88" s="4" t="s">
        <v>1040</v>
      </c>
      <c r="P88" s="4">
        <v>587308052</v>
      </c>
      <c r="R88" s="4">
        <v>10000</v>
      </c>
      <c r="S88">
        <f t="shared" si="2"/>
        <v>10000</v>
      </c>
      <c r="T88" s="7">
        <v>-96</v>
      </c>
      <c r="U88">
        <f t="shared" si="3"/>
        <v>400</v>
      </c>
      <c r="V88" s="15">
        <v>0.621</v>
      </c>
      <c r="W88" s="16">
        <v>0.61</v>
      </c>
      <c r="BB88" s="20" t="str">
        <f>HYPERLINK("https://view.gem360.in/gem360/2906230658-HN-777/gem360-2906230658-HN-777.html","https://view.gem360.in/gem360/2906230658-HN-777/gem360-2906230658-HN-777.html")</f>
        <v>https://view.gem360.in/gem360/2906230658-HN-777/gem360-2906230658-HN-777.html</v>
      </c>
    </row>
    <row r="89" spans="1:54" ht="16" x14ac:dyDescent="0.2">
      <c r="A89" s="4" t="s">
        <v>149</v>
      </c>
      <c r="B89" s="7" t="s">
        <v>536</v>
      </c>
      <c r="C89" s="4" t="s">
        <v>545</v>
      </c>
      <c r="D89" s="8">
        <v>1</v>
      </c>
      <c r="E89" s="9" t="s">
        <v>536</v>
      </c>
      <c r="F89" s="4" t="s">
        <v>547</v>
      </c>
      <c r="G89" s="4" t="s">
        <v>540</v>
      </c>
      <c r="H89" s="4" t="s">
        <v>540</v>
      </c>
      <c r="I89" s="4" t="s">
        <v>540</v>
      </c>
      <c r="J89" s="4" t="s">
        <v>541</v>
      </c>
      <c r="L89" s="4" t="s">
        <v>653</v>
      </c>
      <c r="O89" s="4" t="s">
        <v>1040</v>
      </c>
      <c r="P89" s="4">
        <v>583334136</v>
      </c>
      <c r="R89" s="4">
        <v>10100</v>
      </c>
      <c r="S89">
        <f t="shared" si="2"/>
        <v>10100</v>
      </c>
      <c r="T89" s="7">
        <v>-96</v>
      </c>
      <c r="U89">
        <f t="shared" si="3"/>
        <v>404</v>
      </c>
      <c r="V89" s="15">
        <v>0.622</v>
      </c>
      <c r="W89" s="16">
        <v>0.57999999999999996</v>
      </c>
      <c r="BB89" s="20" t="str">
        <f>HYPERLINK("https://view.gem360.in/gem360/0106230610-HN-719/gem360-0106230610-HN-719.html","https://view.gem360.in/gem360/0106230610-HN-719/gem360-0106230610-HN-719.html")</f>
        <v>https://view.gem360.in/gem360/0106230610-HN-719/gem360-0106230610-HN-719.html</v>
      </c>
    </row>
    <row r="90" spans="1:54" ht="16" x14ac:dyDescent="0.2">
      <c r="A90" s="4" t="s">
        <v>150</v>
      </c>
      <c r="B90" s="7" t="s">
        <v>536</v>
      </c>
      <c r="C90" s="4" t="s">
        <v>545</v>
      </c>
      <c r="D90" s="8">
        <v>1</v>
      </c>
      <c r="E90" s="9" t="s">
        <v>536</v>
      </c>
      <c r="F90" s="4" t="s">
        <v>547</v>
      </c>
      <c r="G90" s="4" t="s">
        <v>540</v>
      </c>
      <c r="H90" s="4" t="s">
        <v>540</v>
      </c>
      <c r="I90" s="4" t="s">
        <v>540</v>
      </c>
      <c r="J90" s="4" t="s">
        <v>541</v>
      </c>
      <c r="L90" s="4" t="s">
        <v>654</v>
      </c>
      <c r="O90" s="4" t="s">
        <v>1040</v>
      </c>
      <c r="P90" s="4">
        <v>585329953</v>
      </c>
      <c r="R90" s="4">
        <v>10100</v>
      </c>
      <c r="S90">
        <f t="shared" si="2"/>
        <v>10100</v>
      </c>
      <c r="T90" s="7">
        <v>-96</v>
      </c>
      <c r="U90">
        <f t="shared" si="3"/>
        <v>404</v>
      </c>
      <c r="V90" s="16">
        <v>0.59</v>
      </c>
      <c r="W90" s="16">
        <v>0.62</v>
      </c>
      <c r="BB90" s="20" t="str">
        <f>HYPERLINK("https://view.gem360.in/gem360/2106230514-HN-169-97/gem360-2106230514-HN-169-97.html","https://view.gem360.in/gem360/2106230514-HN-169-97/gem360-2106230514-HN-169-97.html")</f>
        <v>https://view.gem360.in/gem360/2106230514-HN-169-97/gem360-2106230514-HN-169-97.html</v>
      </c>
    </row>
    <row r="91" spans="1:54" ht="16" x14ac:dyDescent="0.2">
      <c r="A91" s="4" t="s">
        <v>151</v>
      </c>
      <c r="B91" s="7" t="s">
        <v>536</v>
      </c>
      <c r="C91" s="4" t="s">
        <v>545</v>
      </c>
      <c r="D91" s="8">
        <v>1</v>
      </c>
      <c r="E91" s="9" t="s">
        <v>536</v>
      </c>
      <c r="F91" s="4" t="s">
        <v>552</v>
      </c>
      <c r="G91" s="4" t="s">
        <v>540</v>
      </c>
      <c r="H91" s="4" t="s">
        <v>540</v>
      </c>
      <c r="I91" s="4" t="s">
        <v>540</v>
      </c>
      <c r="J91" s="4" t="s">
        <v>541</v>
      </c>
      <c r="L91" s="4" t="s">
        <v>655</v>
      </c>
      <c r="O91" s="4" t="s">
        <v>1040</v>
      </c>
      <c r="P91" s="4">
        <v>581346411</v>
      </c>
      <c r="R91" s="4">
        <v>10900</v>
      </c>
      <c r="S91">
        <f t="shared" si="2"/>
        <v>10900</v>
      </c>
      <c r="T91" s="7">
        <v>-96</v>
      </c>
      <c r="U91">
        <f t="shared" si="3"/>
        <v>436</v>
      </c>
      <c r="V91" s="15">
        <v>0.623</v>
      </c>
      <c r="W91" s="16">
        <v>0.56000000000000005</v>
      </c>
      <c r="BB91" s="20" t="str">
        <f>HYPERLINK("https://view.gem360.in/gem360/2205230537-HN-174-95/gem360-2205230537-HN-174-95.html","https://view.gem360.in/gem360/2205230537-HN-174-95/gem360-2205230537-HN-174-95.html")</f>
        <v>https://view.gem360.in/gem360/2205230537-HN-174-95/gem360-2205230537-HN-174-95.html</v>
      </c>
    </row>
    <row r="92" spans="1:54" ht="16" x14ac:dyDescent="0.2">
      <c r="A92" s="4" t="s">
        <v>152</v>
      </c>
      <c r="B92" s="7" t="s">
        <v>536</v>
      </c>
      <c r="C92" s="4" t="s">
        <v>545</v>
      </c>
      <c r="D92" s="8">
        <v>1</v>
      </c>
      <c r="E92" s="9" t="s">
        <v>536</v>
      </c>
      <c r="F92" s="4" t="s">
        <v>544</v>
      </c>
      <c r="G92" s="4" t="s">
        <v>540</v>
      </c>
      <c r="H92" s="4" t="s">
        <v>540</v>
      </c>
      <c r="I92" s="4" t="s">
        <v>540</v>
      </c>
      <c r="J92" s="4" t="s">
        <v>541</v>
      </c>
      <c r="L92" s="4" t="s">
        <v>656</v>
      </c>
      <c r="O92" s="4" t="s">
        <v>1040</v>
      </c>
      <c r="P92" s="4">
        <v>575396052</v>
      </c>
      <c r="R92" s="4">
        <v>8900</v>
      </c>
      <c r="S92">
        <f t="shared" si="2"/>
        <v>8900</v>
      </c>
      <c r="T92" s="7">
        <v>-96</v>
      </c>
      <c r="U92">
        <f t="shared" si="3"/>
        <v>356</v>
      </c>
      <c r="V92" s="15">
        <v>0.63100000000000001</v>
      </c>
      <c r="W92" s="16">
        <v>0.56999999999999995</v>
      </c>
      <c r="BB92" s="20" t="str">
        <f>HYPERLINK("https://view.gem360.in/gem360/1304230539-HN-159-55/gem360-1304230539-HN-159-55.html","https://view.gem360.in/gem360/1304230539-HN-159-55/gem360-1304230539-HN-159-55.html")</f>
        <v>https://view.gem360.in/gem360/1304230539-HN-159-55/gem360-1304230539-HN-159-55.html</v>
      </c>
    </row>
    <row r="93" spans="1:54" ht="16" x14ac:dyDescent="0.2">
      <c r="A93" s="5" t="s">
        <v>153</v>
      </c>
      <c r="B93" s="7" t="s">
        <v>536</v>
      </c>
      <c r="C93" s="5" t="s">
        <v>545</v>
      </c>
      <c r="D93" s="11">
        <v>0.91</v>
      </c>
      <c r="E93" s="12" t="s">
        <v>550</v>
      </c>
      <c r="F93" s="5" t="s">
        <v>544</v>
      </c>
      <c r="G93" s="5" t="s">
        <v>540</v>
      </c>
      <c r="H93" s="5" t="s">
        <v>540</v>
      </c>
      <c r="I93" s="5" t="s">
        <v>540</v>
      </c>
      <c r="J93" s="5" t="s">
        <v>541</v>
      </c>
      <c r="L93" s="5" t="s">
        <v>657</v>
      </c>
      <c r="O93" s="5" t="s">
        <v>1040</v>
      </c>
      <c r="P93" s="5">
        <v>529266449</v>
      </c>
      <c r="R93" s="5">
        <v>7900</v>
      </c>
      <c r="S93">
        <f t="shared" si="2"/>
        <v>7189</v>
      </c>
      <c r="T93" s="7">
        <v>-96</v>
      </c>
      <c r="U93">
        <f t="shared" si="3"/>
        <v>287.56</v>
      </c>
      <c r="V93" s="17">
        <v>0.63</v>
      </c>
      <c r="W93" s="18">
        <v>0.58499999999999996</v>
      </c>
      <c r="BB93" s="20" t="str">
        <f>HYPERLINK("","")</f>
        <v/>
      </c>
    </row>
    <row r="94" spans="1:54" ht="16" x14ac:dyDescent="0.2">
      <c r="A94" s="4" t="s">
        <v>154</v>
      </c>
      <c r="B94" s="7" t="s">
        <v>536</v>
      </c>
      <c r="C94" s="4" t="s">
        <v>545</v>
      </c>
      <c r="D94" s="8">
        <v>0.9</v>
      </c>
      <c r="E94" s="9" t="s">
        <v>546</v>
      </c>
      <c r="F94" s="4" t="s">
        <v>553</v>
      </c>
      <c r="G94" s="4" t="s">
        <v>540</v>
      </c>
      <c r="H94" s="4" t="s">
        <v>540</v>
      </c>
      <c r="I94" s="4" t="s">
        <v>540</v>
      </c>
      <c r="J94" s="4" t="s">
        <v>541</v>
      </c>
      <c r="L94" s="4" t="s">
        <v>658</v>
      </c>
      <c r="O94" s="4" t="s">
        <v>1040</v>
      </c>
      <c r="P94" s="4">
        <v>528205256</v>
      </c>
      <c r="R94" s="4">
        <v>4000</v>
      </c>
      <c r="S94">
        <f t="shared" si="2"/>
        <v>3600</v>
      </c>
      <c r="T94" s="7">
        <v>-96</v>
      </c>
      <c r="U94">
        <f t="shared" si="3"/>
        <v>144</v>
      </c>
      <c r="V94" s="15">
        <v>0.59699999999999998</v>
      </c>
      <c r="W94" s="15">
        <v>0.59499999999999997</v>
      </c>
      <c r="BB94" s="20" t="str">
        <f>HYPERLINK("https://view.gem360.in/gem360/2105220529-HN44-43/gem360-2105220529-HN44-43.html","https://view.gem360.in/gem360/2105220529-HN44-43/gem360-2105220529-HN44-43.html")</f>
        <v>https://view.gem360.in/gem360/2105220529-HN44-43/gem360-2105220529-HN44-43.html</v>
      </c>
    </row>
    <row r="95" spans="1:54" ht="16" x14ac:dyDescent="0.2">
      <c r="A95" s="4" t="s">
        <v>155</v>
      </c>
      <c r="B95" s="7" t="s">
        <v>536</v>
      </c>
      <c r="C95" s="4" t="s">
        <v>554</v>
      </c>
      <c r="D95" s="8">
        <v>3.08</v>
      </c>
      <c r="E95" s="9" t="s">
        <v>542</v>
      </c>
      <c r="F95" s="4" t="s">
        <v>549</v>
      </c>
      <c r="G95" s="4" t="s">
        <v>539</v>
      </c>
      <c r="H95" s="4" t="s">
        <v>540</v>
      </c>
      <c r="I95" s="4" t="s">
        <v>540</v>
      </c>
      <c r="J95" s="4" t="s">
        <v>541</v>
      </c>
      <c r="L95" s="4" t="s">
        <v>659</v>
      </c>
      <c r="O95" s="4" t="s">
        <v>1040</v>
      </c>
      <c r="P95" s="4">
        <v>496107129</v>
      </c>
      <c r="R95" s="4">
        <v>16000</v>
      </c>
      <c r="S95">
        <f t="shared" si="2"/>
        <v>49280</v>
      </c>
      <c r="T95" s="7">
        <v>-96</v>
      </c>
      <c r="U95">
        <f t="shared" si="3"/>
        <v>1971.2</v>
      </c>
      <c r="V95" s="4">
        <v>64</v>
      </c>
      <c r="W95" s="15">
        <v>0.67500000000000004</v>
      </c>
      <c r="BB95" s="20" t="str">
        <f>HYPERLINK("https://view.gem360.in/gem360/2710210729-hn-80-61/gem360-2710210729-hn-80-61.html","https://view.gem360.in/gem360/2710210729-hn-80-61/gem360-2710210729-hn-80-61.html")</f>
        <v>https://view.gem360.in/gem360/2710210729-hn-80-61/gem360-2710210729-hn-80-61.html</v>
      </c>
    </row>
    <row r="96" spans="1:54" ht="16" x14ac:dyDescent="0.2">
      <c r="A96" s="4" t="s">
        <v>156</v>
      </c>
      <c r="B96" s="7" t="s">
        <v>536</v>
      </c>
      <c r="C96" s="4" t="s">
        <v>554</v>
      </c>
      <c r="D96" s="8">
        <v>3.02</v>
      </c>
      <c r="E96" s="9" t="s">
        <v>536</v>
      </c>
      <c r="F96" s="4" t="s">
        <v>538</v>
      </c>
      <c r="G96" s="4" t="s">
        <v>539</v>
      </c>
      <c r="H96" s="4" t="s">
        <v>540</v>
      </c>
      <c r="I96" s="4" t="s">
        <v>540</v>
      </c>
      <c r="J96" s="4" t="s">
        <v>541</v>
      </c>
      <c r="L96" s="4" t="s">
        <v>660</v>
      </c>
      <c r="O96" s="4" t="s">
        <v>1040</v>
      </c>
      <c r="P96" s="4">
        <v>561259440</v>
      </c>
      <c r="R96" s="4">
        <v>20500</v>
      </c>
      <c r="S96">
        <f t="shared" si="2"/>
        <v>61910</v>
      </c>
      <c r="T96" s="7">
        <v>-96</v>
      </c>
      <c r="U96">
        <f t="shared" si="3"/>
        <v>2476.4</v>
      </c>
      <c r="V96" s="15">
        <v>0.66800000000000004</v>
      </c>
      <c r="W96" s="15">
        <v>0.64500000000000002</v>
      </c>
      <c r="BB96" s="20" t="str">
        <f>HYPERLINK("https://v360.in/diamondview.aspx?cid=preet&amp;d=HN-130-11","https://v360.in/diamondview.aspx?cid=preet&amp;d=HN-130-11")</f>
        <v>https://v360.in/diamondview.aspx?cid=preet&amp;d=HN-130-11</v>
      </c>
    </row>
    <row r="97" spans="1:54" ht="16" x14ac:dyDescent="0.2">
      <c r="A97" s="4" t="s">
        <v>157</v>
      </c>
      <c r="B97" s="7" t="s">
        <v>536</v>
      </c>
      <c r="C97" s="4" t="s">
        <v>554</v>
      </c>
      <c r="D97" s="8">
        <v>3.01</v>
      </c>
      <c r="E97" s="9" t="s">
        <v>536</v>
      </c>
      <c r="F97" s="4" t="s">
        <v>538</v>
      </c>
      <c r="G97" s="4" t="s">
        <v>539</v>
      </c>
      <c r="H97" s="4" t="s">
        <v>540</v>
      </c>
      <c r="I97" s="4" t="s">
        <v>540</v>
      </c>
      <c r="J97" s="4" t="s">
        <v>541</v>
      </c>
      <c r="L97" s="4" t="s">
        <v>661</v>
      </c>
      <c r="O97" s="4" t="s">
        <v>1040</v>
      </c>
      <c r="P97" s="4">
        <v>553259922</v>
      </c>
      <c r="R97" s="4">
        <v>20500</v>
      </c>
      <c r="S97">
        <f t="shared" si="2"/>
        <v>61704.999999999993</v>
      </c>
      <c r="T97" s="7">
        <v>-96</v>
      </c>
      <c r="U97">
        <f t="shared" si="3"/>
        <v>2468.1999999999998</v>
      </c>
      <c r="V97" s="15">
        <v>0.63600000000000001</v>
      </c>
      <c r="W97" s="16">
        <v>0.69</v>
      </c>
      <c r="BB97" s="20" t="str">
        <f>HYPERLINK("https://v360.in/diamondview.aspx?cid=preet&amp;d=HN-127-11","https://v360.in/diamondview.aspx?cid=preet&amp;d=HN-127-11")</f>
        <v>https://v360.in/diamondview.aspx?cid=preet&amp;d=HN-127-11</v>
      </c>
    </row>
    <row r="98" spans="1:54" ht="16" x14ac:dyDescent="0.2">
      <c r="A98" s="4" t="s">
        <v>158</v>
      </c>
      <c r="B98" s="7" t="s">
        <v>536</v>
      </c>
      <c r="C98" s="4" t="s">
        <v>554</v>
      </c>
      <c r="D98" s="8">
        <v>2.19</v>
      </c>
      <c r="E98" s="9" t="s">
        <v>536</v>
      </c>
      <c r="F98" s="4" t="s">
        <v>544</v>
      </c>
      <c r="G98" s="4" t="s">
        <v>539</v>
      </c>
      <c r="H98" s="4" t="s">
        <v>540</v>
      </c>
      <c r="I98" s="4" t="s">
        <v>540</v>
      </c>
      <c r="J98" s="4" t="s">
        <v>541</v>
      </c>
      <c r="L98" s="4" t="s">
        <v>662</v>
      </c>
      <c r="O98" s="4" t="s">
        <v>1040</v>
      </c>
      <c r="P98" s="4">
        <v>575396020</v>
      </c>
      <c r="R98" s="4">
        <v>15500</v>
      </c>
      <c r="S98">
        <f t="shared" si="2"/>
        <v>33945</v>
      </c>
      <c r="T98" s="7">
        <v>-96</v>
      </c>
      <c r="U98">
        <f t="shared" si="3"/>
        <v>1357.8</v>
      </c>
      <c r="V98" s="15">
        <v>0.63500000000000001</v>
      </c>
      <c r="W98" s="16">
        <v>0.63</v>
      </c>
      <c r="BB98" s="20" t="str">
        <f>HYPERLINK("https://view.gem360.in/gem360/1704230621-HN-159-7/gem360-1704230621-HN-159-7.html","https://view.gem360.in/gem360/1704230621-HN-159-7/gem360-1704230621-HN-159-7.html")</f>
        <v>https://view.gem360.in/gem360/1704230621-HN-159-7/gem360-1704230621-HN-159-7.html</v>
      </c>
    </row>
    <row r="99" spans="1:54" ht="16" x14ac:dyDescent="0.2">
      <c r="A99" s="4" t="s">
        <v>159</v>
      </c>
      <c r="B99" s="7" t="s">
        <v>536</v>
      </c>
      <c r="C99" s="4" t="s">
        <v>554</v>
      </c>
      <c r="D99" s="8">
        <v>2.0699999999999998</v>
      </c>
      <c r="E99" s="9" t="s">
        <v>536</v>
      </c>
      <c r="F99" s="4" t="s">
        <v>544</v>
      </c>
      <c r="G99" s="4" t="s">
        <v>539</v>
      </c>
      <c r="H99" s="4" t="s">
        <v>540</v>
      </c>
      <c r="I99" s="4" t="s">
        <v>551</v>
      </c>
      <c r="J99" s="4" t="s">
        <v>541</v>
      </c>
      <c r="L99" s="4" t="s">
        <v>663</v>
      </c>
      <c r="O99" s="4" t="s">
        <v>1040</v>
      </c>
      <c r="P99" s="4">
        <v>571301042</v>
      </c>
      <c r="R99" s="4">
        <v>15500</v>
      </c>
      <c r="S99">
        <f t="shared" si="2"/>
        <v>32084.999999999996</v>
      </c>
      <c r="T99" s="7">
        <v>-96</v>
      </c>
      <c r="U99">
        <f t="shared" si="3"/>
        <v>1283.3999999999999</v>
      </c>
      <c r="V99" s="15">
        <v>0.67200000000000004</v>
      </c>
      <c r="W99" s="16">
        <v>0.68</v>
      </c>
      <c r="BB99" s="20" t="str">
        <f>HYPERLINK("https://v360.in/diamondview.aspx?cid=preet&amp;d=HN-141-41","https://v360.in/diamondview.aspx?cid=preet&amp;d=HN-141-41")</f>
        <v>https://v360.in/diamondview.aspx?cid=preet&amp;d=HN-141-41</v>
      </c>
    </row>
    <row r="100" spans="1:54" ht="16" x14ac:dyDescent="0.2">
      <c r="A100" s="4" t="s">
        <v>160</v>
      </c>
      <c r="B100" s="7" t="s">
        <v>536</v>
      </c>
      <c r="C100" s="4" t="s">
        <v>554</v>
      </c>
      <c r="D100" s="8">
        <v>2.02</v>
      </c>
      <c r="E100" s="9" t="s">
        <v>542</v>
      </c>
      <c r="F100" s="4" t="s">
        <v>544</v>
      </c>
      <c r="G100" s="4" t="s">
        <v>539</v>
      </c>
      <c r="H100" s="4" t="s">
        <v>540</v>
      </c>
      <c r="I100" s="4" t="s">
        <v>540</v>
      </c>
      <c r="J100" s="4" t="s">
        <v>541</v>
      </c>
      <c r="L100" s="4" t="s">
        <v>664</v>
      </c>
      <c r="O100" s="4" t="s">
        <v>1040</v>
      </c>
      <c r="P100" s="4">
        <v>571301040</v>
      </c>
      <c r="R100" s="4">
        <v>13000</v>
      </c>
      <c r="S100">
        <f t="shared" si="2"/>
        <v>26260</v>
      </c>
      <c r="T100" s="7">
        <v>-96</v>
      </c>
      <c r="U100">
        <f t="shared" si="3"/>
        <v>1050.4000000000001</v>
      </c>
      <c r="V100" s="15">
        <v>0.59899999999999998</v>
      </c>
      <c r="W100" s="15">
        <v>0.68500000000000005</v>
      </c>
      <c r="BB100" s="20" t="str">
        <f>HYPERLINK("https://v360.in/diamondview.aspx?cid=preet&amp;d=HN-141-39","https://v360.in/diamondview.aspx?cid=preet&amp;d=HN-141-39")</f>
        <v>https://v360.in/diamondview.aspx?cid=preet&amp;d=HN-141-39</v>
      </c>
    </row>
    <row r="101" spans="1:54" ht="16" x14ac:dyDescent="0.2">
      <c r="A101" s="4" t="s">
        <v>161</v>
      </c>
      <c r="B101" s="7" t="s">
        <v>536</v>
      </c>
      <c r="C101" s="4" t="s">
        <v>554</v>
      </c>
      <c r="D101" s="8">
        <v>1.93</v>
      </c>
      <c r="E101" s="9" t="s">
        <v>536</v>
      </c>
      <c r="F101" s="4" t="s">
        <v>544</v>
      </c>
      <c r="G101" s="4" t="s">
        <v>539</v>
      </c>
      <c r="H101" s="4" t="s">
        <v>540</v>
      </c>
      <c r="I101" s="4" t="s">
        <v>540</v>
      </c>
      <c r="J101" s="4" t="s">
        <v>541</v>
      </c>
      <c r="L101" s="4" t="s">
        <v>665</v>
      </c>
      <c r="O101" s="4" t="s">
        <v>1040</v>
      </c>
      <c r="P101" s="4">
        <v>571301041</v>
      </c>
      <c r="R101" s="4">
        <v>11200</v>
      </c>
      <c r="S101">
        <f t="shared" si="2"/>
        <v>21616</v>
      </c>
      <c r="T101" s="7">
        <v>-96</v>
      </c>
      <c r="U101">
        <f t="shared" si="3"/>
        <v>864.64</v>
      </c>
      <c r="V101" s="15">
        <v>0.66500000000000004</v>
      </c>
      <c r="W101" s="15">
        <v>0.67500000000000004</v>
      </c>
      <c r="BB101" s="20" t="str">
        <f>HYPERLINK("https://v360.in/diamondview.aspx?cid=preet&amp;d=HN-147-40","https://v360.in/diamondview.aspx?cid=preet&amp;d=HN-147-40")</f>
        <v>https://v360.in/diamondview.aspx?cid=preet&amp;d=HN-147-40</v>
      </c>
    </row>
    <row r="102" spans="1:54" ht="16" x14ac:dyDescent="0.2">
      <c r="A102" s="4" t="s">
        <v>162</v>
      </c>
      <c r="B102" s="7" t="s">
        <v>536</v>
      </c>
      <c r="C102" s="4" t="s">
        <v>554</v>
      </c>
      <c r="D102" s="8">
        <v>1.91</v>
      </c>
      <c r="E102" s="9" t="s">
        <v>536</v>
      </c>
      <c r="F102" s="4" t="s">
        <v>544</v>
      </c>
      <c r="G102" s="4" t="s">
        <v>539</v>
      </c>
      <c r="H102" s="4" t="s">
        <v>540</v>
      </c>
      <c r="I102" s="4" t="s">
        <v>540</v>
      </c>
      <c r="J102" s="4" t="s">
        <v>541</v>
      </c>
      <c r="L102" s="4" t="s">
        <v>666</v>
      </c>
      <c r="O102" s="4" t="s">
        <v>1040</v>
      </c>
      <c r="P102" s="4">
        <v>573396356</v>
      </c>
      <c r="R102" s="4">
        <v>11200</v>
      </c>
      <c r="S102">
        <f t="shared" si="2"/>
        <v>21392</v>
      </c>
      <c r="T102" s="7">
        <v>-96</v>
      </c>
      <c r="U102">
        <f t="shared" si="3"/>
        <v>855.68</v>
      </c>
      <c r="V102" s="15">
        <v>0.624</v>
      </c>
      <c r="W102" s="16">
        <v>0.64</v>
      </c>
      <c r="BB102" s="20" t="str">
        <f>HYPERLINK("https://view.gem360.in/gem360/0504230647-HN-152-19/gem360-0504230647-HN-152-19.html","https://view.gem360.in/gem360/0504230647-HN-152-19/gem360-0504230647-HN-152-19.html")</f>
        <v>https://view.gem360.in/gem360/0504230647-HN-152-19/gem360-0504230647-HN-152-19.html</v>
      </c>
    </row>
    <row r="103" spans="1:54" ht="16" x14ac:dyDescent="0.2">
      <c r="A103" s="4" t="s">
        <v>163</v>
      </c>
      <c r="B103" s="7" t="s">
        <v>536</v>
      </c>
      <c r="C103" s="4" t="s">
        <v>554</v>
      </c>
      <c r="D103" s="8">
        <v>1.86</v>
      </c>
      <c r="E103" s="9" t="s">
        <v>536</v>
      </c>
      <c r="F103" s="4" t="s">
        <v>544</v>
      </c>
      <c r="G103" s="4" t="s">
        <v>539</v>
      </c>
      <c r="H103" s="4" t="s">
        <v>540</v>
      </c>
      <c r="I103" s="4" t="s">
        <v>540</v>
      </c>
      <c r="J103" s="4" t="s">
        <v>541</v>
      </c>
      <c r="L103" s="4" t="s">
        <v>667</v>
      </c>
      <c r="O103" s="4" t="s">
        <v>1040</v>
      </c>
      <c r="P103" s="4">
        <v>570370824</v>
      </c>
      <c r="R103" s="4">
        <v>11200</v>
      </c>
      <c r="S103">
        <f t="shared" si="2"/>
        <v>20832</v>
      </c>
      <c r="T103" s="7">
        <v>-96</v>
      </c>
      <c r="U103">
        <f t="shared" si="3"/>
        <v>833.28000000000009</v>
      </c>
      <c r="V103" s="15">
        <v>0.64600000000000002</v>
      </c>
      <c r="W103" s="15">
        <v>0.65500000000000003</v>
      </c>
      <c r="BB103" s="20" t="str">
        <f>HYPERLINK("https://v360.in/diamondview.aspx?cid=preet&amp;d=HN-147-18","https://v360.in/diamondview.aspx?cid=preet&amp;d=HN-147-18")</f>
        <v>https://v360.in/diamondview.aspx?cid=preet&amp;d=HN-147-18</v>
      </c>
    </row>
    <row r="104" spans="1:54" ht="16" x14ac:dyDescent="0.2">
      <c r="A104" s="4" t="s">
        <v>164</v>
      </c>
      <c r="B104" s="7" t="s">
        <v>536</v>
      </c>
      <c r="C104" s="4" t="s">
        <v>554</v>
      </c>
      <c r="D104" s="8">
        <v>1.7</v>
      </c>
      <c r="E104" s="9" t="s">
        <v>542</v>
      </c>
      <c r="F104" s="4" t="s">
        <v>544</v>
      </c>
      <c r="G104" s="4" t="s">
        <v>539</v>
      </c>
      <c r="H104" s="4" t="s">
        <v>540</v>
      </c>
      <c r="I104" s="4" t="s">
        <v>540</v>
      </c>
      <c r="J104" s="4" t="s">
        <v>541</v>
      </c>
      <c r="L104" s="4" t="s">
        <v>668</v>
      </c>
      <c r="O104" s="4" t="s">
        <v>1040</v>
      </c>
      <c r="P104" s="4">
        <v>570370825</v>
      </c>
      <c r="R104" s="4">
        <v>9500</v>
      </c>
      <c r="S104">
        <f t="shared" si="2"/>
        <v>16150</v>
      </c>
      <c r="T104" s="7">
        <v>-96</v>
      </c>
      <c r="U104">
        <f t="shared" si="3"/>
        <v>646</v>
      </c>
      <c r="V104" s="15">
        <v>0.65200000000000002</v>
      </c>
      <c r="W104" s="15">
        <v>0.745</v>
      </c>
      <c r="BB104" s="20" t="str">
        <f>HYPERLINK("https://v360.in/diamondview.aspx?cid=preet&amp;d=HN-147-17","https://v360.in/diamondview.aspx?cid=preet&amp;d=HN-147-17")</f>
        <v>https://v360.in/diamondview.aspx?cid=preet&amp;d=HN-147-17</v>
      </c>
    </row>
    <row r="105" spans="1:54" ht="16" x14ac:dyDescent="0.2">
      <c r="A105" s="4" t="s">
        <v>165</v>
      </c>
      <c r="B105" s="7" t="s">
        <v>536</v>
      </c>
      <c r="C105" s="4" t="s">
        <v>554</v>
      </c>
      <c r="D105" s="8">
        <v>1.66</v>
      </c>
      <c r="E105" s="9" t="s">
        <v>546</v>
      </c>
      <c r="F105" s="4" t="s">
        <v>538</v>
      </c>
      <c r="G105" s="4" t="s">
        <v>539</v>
      </c>
      <c r="H105" s="4" t="s">
        <v>540</v>
      </c>
      <c r="I105" s="4" t="s">
        <v>540</v>
      </c>
      <c r="J105" s="4" t="s">
        <v>541</v>
      </c>
      <c r="L105" s="4" t="s">
        <v>669</v>
      </c>
      <c r="O105" s="4" t="s">
        <v>1040</v>
      </c>
      <c r="P105" s="4">
        <v>553217218</v>
      </c>
      <c r="R105" s="4">
        <v>10900</v>
      </c>
      <c r="S105">
        <f t="shared" si="2"/>
        <v>18094</v>
      </c>
      <c r="T105" s="7">
        <v>-96</v>
      </c>
      <c r="U105">
        <f t="shared" si="3"/>
        <v>723.76</v>
      </c>
      <c r="V105" s="15">
        <v>0.67400000000000004</v>
      </c>
      <c r="W105" s="15">
        <v>0.66500000000000004</v>
      </c>
      <c r="BB105" s="20" t="str">
        <f>HYPERLINK("https://v360.in/diamondview.aspx?cid=preet&amp;d=HN-127-44","https://v360.in/diamondview.aspx?cid=preet&amp;d=HN-127-44")</f>
        <v>https://v360.in/diamondview.aspx?cid=preet&amp;d=HN-127-44</v>
      </c>
    </row>
    <row r="106" spans="1:54" ht="16" x14ac:dyDescent="0.2">
      <c r="A106" s="4" t="s">
        <v>166</v>
      </c>
      <c r="B106" s="7" t="s">
        <v>536</v>
      </c>
      <c r="C106" s="4" t="s">
        <v>554</v>
      </c>
      <c r="D106" s="8">
        <v>1.65</v>
      </c>
      <c r="E106" s="9" t="s">
        <v>536</v>
      </c>
      <c r="F106" s="4" t="s">
        <v>544</v>
      </c>
      <c r="G106" s="4" t="s">
        <v>539</v>
      </c>
      <c r="H106" s="4" t="s">
        <v>540</v>
      </c>
      <c r="I106" s="4" t="s">
        <v>540</v>
      </c>
      <c r="J106" s="4" t="s">
        <v>541</v>
      </c>
      <c r="L106" s="4" t="s">
        <v>670</v>
      </c>
      <c r="O106" s="4" t="s">
        <v>1040</v>
      </c>
      <c r="P106" s="4">
        <v>574340142</v>
      </c>
      <c r="R106" s="4">
        <v>11200</v>
      </c>
      <c r="S106">
        <f t="shared" si="2"/>
        <v>18480</v>
      </c>
      <c r="T106" s="7">
        <v>-96</v>
      </c>
      <c r="U106">
        <f t="shared" si="3"/>
        <v>739.19999999999993</v>
      </c>
      <c r="V106" s="15">
        <v>0.63300000000000001</v>
      </c>
      <c r="W106" s="16">
        <v>0.62</v>
      </c>
      <c r="BB106" s="20" t="str">
        <f>HYPERLINK("https://view.gem360.in/gem360/0504230533-HN-154-8/gem360-0504230533-HN-154-8.html","https://view.gem360.in/gem360/0504230533-HN-154-8/gem360-0504230533-HN-154-8.html")</f>
        <v>https://view.gem360.in/gem360/0504230533-HN-154-8/gem360-0504230533-HN-154-8.html</v>
      </c>
    </row>
    <row r="107" spans="1:54" ht="16" x14ac:dyDescent="0.2">
      <c r="A107" s="4" t="s">
        <v>167</v>
      </c>
      <c r="B107" s="7" t="s">
        <v>536</v>
      </c>
      <c r="C107" s="4" t="s">
        <v>554</v>
      </c>
      <c r="D107" s="8">
        <v>1.61</v>
      </c>
      <c r="E107" s="9" t="s">
        <v>536</v>
      </c>
      <c r="F107" s="4" t="s">
        <v>544</v>
      </c>
      <c r="G107" s="4" t="s">
        <v>539</v>
      </c>
      <c r="H107" s="4" t="s">
        <v>540</v>
      </c>
      <c r="I107" s="4" t="s">
        <v>540</v>
      </c>
      <c r="J107" s="4" t="s">
        <v>541</v>
      </c>
      <c r="L107" s="4" t="s">
        <v>671</v>
      </c>
      <c r="O107" s="4" t="s">
        <v>1040</v>
      </c>
      <c r="P107" s="4">
        <v>551214623</v>
      </c>
      <c r="R107" s="4">
        <v>11200</v>
      </c>
      <c r="S107">
        <f t="shared" si="2"/>
        <v>18032</v>
      </c>
      <c r="T107" s="7">
        <v>-96</v>
      </c>
      <c r="U107">
        <f t="shared" si="3"/>
        <v>721.28000000000009</v>
      </c>
      <c r="V107" s="15">
        <v>0.66400000000000003</v>
      </c>
      <c r="W107" s="15">
        <v>0.66500000000000004</v>
      </c>
      <c r="BB107" s="20" t="str">
        <f>HYPERLINK("https://v360.in/diamondview.aspx?cid=preet&amp;d=HN-127-16","https://v360.in/diamondview.aspx?cid=preet&amp;d=HN-127-16")</f>
        <v>https://v360.in/diamondview.aspx?cid=preet&amp;d=HN-127-16</v>
      </c>
    </row>
    <row r="108" spans="1:54" ht="16" x14ac:dyDescent="0.2">
      <c r="A108" s="4" t="s">
        <v>168</v>
      </c>
      <c r="B108" s="7" t="s">
        <v>536</v>
      </c>
      <c r="C108" s="4" t="s">
        <v>554</v>
      </c>
      <c r="D108" s="8">
        <v>1.6</v>
      </c>
      <c r="E108" s="9" t="s">
        <v>536</v>
      </c>
      <c r="F108" s="4" t="s">
        <v>538</v>
      </c>
      <c r="G108" s="4" t="s">
        <v>539</v>
      </c>
      <c r="H108" s="4" t="s">
        <v>540</v>
      </c>
      <c r="I108" s="4" t="s">
        <v>540</v>
      </c>
      <c r="J108" s="4" t="s">
        <v>541</v>
      </c>
      <c r="L108" s="4" t="s">
        <v>672</v>
      </c>
      <c r="O108" s="4" t="s">
        <v>1040</v>
      </c>
      <c r="P108" s="4">
        <v>574340108</v>
      </c>
      <c r="R108" s="4">
        <v>10100</v>
      </c>
      <c r="S108">
        <f t="shared" si="2"/>
        <v>16160</v>
      </c>
      <c r="T108" s="7">
        <v>-96</v>
      </c>
      <c r="U108">
        <f t="shared" si="3"/>
        <v>646.40000000000009</v>
      </c>
      <c r="V108" s="16">
        <v>0.62</v>
      </c>
      <c r="W108" s="16">
        <v>0.62</v>
      </c>
      <c r="BB108" s="20" t="str">
        <f>HYPERLINK("https://view.gem360.in/gem360/0604230836-HN-154-6/gem360-0604230836-HN-154-6.html","https://view.gem360.in/gem360/0604230836-HN-154-6/gem360-0604230836-HN-154-6.html")</f>
        <v>https://view.gem360.in/gem360/0604230836-HN-154-6/gem360-0604230836-HN-154-6.html</v>
      </c>
    </row>
    <row r="109" spans="1:54" ht="16" x14ac:dyDescent="0.2">
      <c r="A109" s="4" t="s">
        <v>169</v>
      </c>
      <c r="B109" s="7" t="s">
        <v>536</v>
      </c>
      <c r="C109" s="4" t="s">
        <v>554</v>
      </c>
      <c r="D109" s="8">
        <v>1.6</v>
      </c>
      <c r="E109" s="9" t="s">
        <v>536</v>
      </c>
      <c r="F109" s="4" t="s">
        <v>544</v>
      </c>
      <c r="G109" s="4" t="s">
        <v>539</v>
      </c>
      <c r="H109" s="4" t="s">
        <v>540</v>
      </c>
      <c r="I109" s="4" t="s">
        <v>540</v>
      </c>
      <c r="J109" s="4" t="s">
        <v>541</v>
      </c>
      <c r="L109" s="4" t="s">
        <v>673</v>
      </c>
      <c r="O109" s="4" t="s">
        <v>1040</v>
      </c>
      <c r="P109" s="4">
        <v>570376190</v>
      </c>
      <c r="R109" s="4">
        <v>11200</v>
      </c>
      <c r="S109">
        <f t="shared" si="2"/>
        <v>17920</v>
      </c>
      <c r="T109" s="7">
        <v>-96</v>
      </c>
      <c r="U109">
        <f t="shared" si="3"/>
        <v>716.80000000000007</v>
      </c>
      <c r="V109" s="15">
        <v>0.64900000000000002</v>
      </c>
      <c r="W109" s="16">
        <v>0.66</v>
      </c>
      <c r="BB109" s="20" t="str">
        <f>HYPERLINK("https://v360.in/diamondview.aspx?cid=preet&amp;d=HN-148-9","https://v360.in/diamondview.aspx?cid=preet&amp;d=HN-148-9")</f>
        <v>https://v360.in/diamondview.aspx?cid=preet&amp;d=HN-148-9</v>
      </c>
    </row>
    <row r="110" spans="1:54" ht="16" x14ac:dyDescent="0.2">
      <c r="A110" s="4" t="s">
        <v>170</v>
      </c>
      <c r="B110" s="7" t="s">
        <v>536</v>
      </c>
      <c r="C110" s="4" t="s">
        <v>554</v>
      </c>
      <c r="D110" s="8">
        <v>1.56</v>
      </c>
      <c r="E110" s="9" t="s">
        <v>542</v>
      </c>
      <c r="F110" s="4" t="s">
        <v>544</v>
      </c>
      <c r="G110" s="4" t="s">
        <v>539</v>
      </c>
      <c r="H110" s="4" t="s">
        <v>540</v>
      </c>
      <c r="I110" s="4" t="s">
        <v>540</v>
      </c>
      <c r="J110" s="4" t="s">
        <v>541</v>
      </c>
      <c r="L110" s="4" t="s">
        <v>674</v>
      </c>
      <c r="O110" s="4" t="s">
        <v>1040</v>
      </c>
      <c r="P110" s="4">
        <v>570376209</v>
      </c>
      <c r="R110" s="4">
        <v>9500</v>
      </c>
      <c r="S110">
        <f t="shared" si="2"/>
        <v>14820</v>
      </c>
      <c r="T110" s="7">
        <v>-96</v>
      </c>
      <c r="U110">
        <f t="shared" si="3"/>
        <v>592.80000000000007</v>
      </c>
      <c r="V110" s="15">
        <v>0.64200000000000002</v>
      </c>
      <c r="W110" s="16">
        <v>0.61</v>
      </c>
      <c r="BB110" s="20" t="str">
        <f>HYPERLINK("https://v360.in/diamondview.aspx?cid=preet&amp;d=HN-142-46","https://v360.in/diamondview.aspx?cid=preet&amp;d=HN-142-46")</f>
        <v>https://v360.in/diamondview.aspx?cid=preet&amp;d=HN-142-46</v>
      </c>
    </row>
    <row r="111" spans="1:54" ht="16" x14ac:dyDescent="0.2">
      <c r="A111" s="4" t="s">
        <v>171</v>
      </c>
      <c r="B111" s="7" t="s">
        <v>536</v>
      </c>
      <c r="C111" s="4" t="s">
        <v>554</v>
      </c>
      <c r="D111" s="8">
        <v>1.54</v>
      </c>
      <c r="E111" s="9" t="s">
        <v>536</v>
      </c>
      <c r="F111" s="4" t="s">
        <v>544</v>
      </c>
      <c r="G111" s="4" t="s">
        <v>539</v>
      </c>
      <c r="H111" s="4" t="s">
        <v>540</v>
      </c>
      <c r="I111" s="4" t="s">
        <v>540</v>
      </c>
      <c r="J111" s="4" t="s">
        <v>541</v>
      </c>
      <c r="L111" s="4" t="s">
        <v>675</v>
      </c>
      <c r="O111" s="4" t="s">
        <v>1040</v>
      </c>
      <c r="P111" s="4">
        <v>570376206</v>
      </c>
      <c r="R111" s="4">
        <v>11200</v>
      </c>
      <c r="S111">
        <f t="shared" si="2"/>
        <v>17248</v>
      </c>
      <c r="T111" s="7">
        <v>-96</v>
      </c>
      <c r="U111">
        <f t="shared" si="3"/>
        <v>689.92000000000007</v>
      </c>
      <c r="V111" s="15">
        <v>0.67900000000000005</v>
      </c>
      <c r="W111" s="15">
        <v>0.64500000000000002</v>
      </c>
      <c r="BB111" s="20" t="str">
        <f>HYPERLINK("https://v360.in/diamondview.aspx?cid=preet&amp;d=HN-142-43","https://v360.in/diamondview.aspx?cid=preet&amp;d=HN-142-43")</f>
        <v>https://v360.in/diamondview.aspx?cid=preet&amp;d=HN-142-43</v>
      </c>
    </row>
    <row r="112" spans="1:54" ht="16" x14ac:dyDescent="0.2">
      <c r="A112" s="4" t="s">
        <v>172</v>
      </c>
      <c r="B112" s="7" t="s">
        <v>536</v>
      </c>
      <c r="C112" s="4" t="s">
        <v>554</v>
      </c>
      <c r="D112" s="8">
        <v>1.53</v>
      </c>
      <c r="E112" s="9" t="s">
        <v>536</v>
      </c>
      <c r="F112" s="4" t="s">
        <v>544</v>
      </c>
      <c r="G112" s="4" t="s">
        <v>539</v>
      </c>
      <c r="H112" s="4" t="s">
        <v>540</v>
      </c>
      <c r="I112" s="4" t="s">
        <v>540</v>
      </c>
      <c r="J112" s="4" t="s">
        <v>541</v>
      </c>
      <c r="L112" s="4" t="s">
        <v>676</v>
      </c>
      <c r="O112" s="4" t="s">
        <v>1040</v>
      </c>
      <c r="P112" s="4">
        <v>569328556</v>
      </c>
      <c r="R112" s="4">
        <v>11200</v>
      </c>
      <c r="S112">
        <f t="shared" si="2"/>
        <v>17136</v>
      </c>
      <c r="T112" s="7">
        <v>-96</v>
      </c>
      <c r="U112">
        <f t="shared" si="3"/>
        <v>685.44</v>
      </c>
      <c r="V112" s="15">
        <v>0.65300000000000002</v>
      </c>
      <c r="W112" s="15">
        <v>0.64500000000000002</v>
      </c>
      <c r="BB112" s="20" t="str">
        <f>HYPERLINK("https://v360.in/diamondview.aspx?cid=preet&amp;d=HN-137-34","https://v360.in/diamondview.aspx?cid=preet&amp;d=HN-137-34")</f>
        <v>https://v360.in/diamondview.aspx?cid=preet&amp;d=HN-137-34</v>
      </c>
    </row>
    <row r="113" spans="1:54" ht="16" x14ac:dyDescent="0.2">
      <c r="A113" s="4" t="s">
        <v>173</v>
      </c>
      <c r="B113" s="7" t="s">
        <v>536</v>
      </c>
      <c r="C113" s="4" t="s">
        <v>554</v>
      </c>
      <c r="D113" s="8">
        <v>1.53</v>
      </c>
      <c r="E113" s="9" t="s">
        <v>542</v>
      </c>
      <c r="F113" s="4" t="s">
        <v>544</v>
      </c>
      <c r="G113" s="4" t="s">
        <v>539</v>
      </c>
      <c r="H113" s="4" t="s">
        <v>540</v>
      </c>
      <c r="I113" s="4" t="s">
        <v>540</v>
      </c>
      <c r="J113" s="4" t="s">
        <v>541</v>
      </c>
      <c r="L113" s="4" t="s">
        <v>677</v>
      </c>
      <c r="O113" s="4" t="s">
        <v>1040</v>
      </c>
      <c r="P113" s="4">
        <v>572327216</v>
      </c>
      <c r="R113" s="4">
        <v>9500</v>
      </c>
      <c r="S113">
        <f t="shared" si="2"/>
        <v>14535</v>
      </c>
      <c r="T113" s="7">
        <v>-96</v>
      </c>
      <c r="U113">
        <f t="shared" si="3"/>
        <v>581.4</v>
      </c>
      <c r="V113" s="15">
        <v>0.65700000000000003</v>
      </c>
      <c r="W113" s="15">
        <v>0.60499999999999998</v>
      </c>
      <c r="BB113" s="20" t="str">
        <f>HYPERLINK("https://v360.in/diamondview.aspx?cid=preet&amp;d=HN-151-5","https://v360.in/diamondview.aspx?cid=preet&amp;d=HN-151-5")</f>
        <v>https://v360.in/diamondview.aspx?cid=preet&amp;d=HN-151-5</v>
      </c>
    </row>
    <row r="114" spans="1:54" ht="16" x14ac:dyDescent="0.2">
      <c r="A114" s="4" t="s">
        <v>174</v>
      </c>
      <c r="B114" s="7" t="s">
        <v>536</v>
      </c>
      <c r="C114" s="4" t="s">
        <v>554</v>
      </c>
      <c r="D114" s="8">
        <v>1.52</v>
      </c>
      <c r="E114" s="9" t="s">
        <v>546</v>
      </c>
      <c r="F114" s="4" t="s">
        <v>549</v>
      </c>
      <c r="G114" s="4" t="s">
        <v>539</v>
      </c>
      <c r="H114" s="4" t="s">
        <v>540</v>
      </c>
      <c r="I114" s="4" t="s">
        <v>540</v>
      </c>
      <c r="J114" s="4" t="s">
        <v>541</v>
      </c>
      <c r="L114" s="4" t="s">
        <v>678</v>
      </c>
      <c r="O114" s="4" t="s">
        <v>1040</v>
      </c>
      <c r="P114" s="4">
        <v>553219377</v>
      </c>
      <c r="R114" s="4">
        <v>9300</v>
      </c>
      <c r="S114">
        <f t="shared" si="2"/>
        <v>14136</v>
      </c>
      <c r="T114" s="7">
        <v>-96</v>
      </c>
      <c r="U114">
        <f t="shared" si="3"/>
        <v>565.44000000000005</v>
      </c>
      <c r="V114" s="15">
        <v>0.67500000000000004</v>
      </c>
      <c r="W114" s="16">
        <v>0.64</v>
      </c>
      <c r="BB114" s="20" t="str">
        <f>HYPERLINK("https://v360.in/diamondview.aspx?cid=preet&amp;d=HN-127-41","https://v360.in/diamondview.aspx?cid=preet&amp;d=HN-127-41")</f>
        <v>https://v360.in/diamondview.aspx?cid=preet&amp;d=HN-127-41</v>
      </c>
    </row>
    <row r="115" spans="1:54" ht="16" x14ac:dyDescent="0.2">
      <c r="A115" s="4" t="s">
        <v>175</v>
      </c>
      <c r="B115" s="7" t="s">
        <v>536</v>
      </c>
      <c r="C115" s="4" t="s">
        <v>554</v>
      </c>
      <c r="D115" s="8">
        <v>1.52</v>
      </c>
      <c r="E115" s="9" t="s">
        <v>536</v>
      </c>
      <c r="F115" s="4" t="s">
        <v>547</v>
      </c>
      <c r="G115" s="4" t="s">
        <v>539</v>
      </c>
      <c r="H115" s="4" t="s">
        <v>540</v>
      </c>
      <c r="I115" s="4" t="s">
        <v>540</v>
      </c>
      <c r="J115" s="4" t="s">
        <v>541</v>
      </c>
      <c r="L115" s="4" t="s">
        <v>679</v>
      </c>
      <c r="O115" s="4" t="s">
        <v>1040</v>
      </c>
      <c r="P115" s="4">
        <v>575396015</v>
      </c>
      <c r="R115" s="4">
        <v>11700</v>
      </c>
      <c r="S115">
        <f t="shared" si="2"/>
        <v>17784</v>
      </c>
      <c r="T115" s="7">
        <v>-96</v>
      </c>
      <c r="U115">
        <f t="shared" si="3"/>
        <v>711.36</v>
      </c>
      <c r="V115" s="15">
        <v>0.66300000000000003</v>
      </c>
      <c r="W115" s="15">
        <v>0.64500000000000002</v>
      </c>
      <c r="BB115" s="20" t="str">
        <f>HYPERLINK("https://view.gem360.in/gem360/1704230633-HN-159-2/gem360-1704230633-HN-159-2.html","https://view.gem360.in/gem360/1704230633-HN-159-2/gem360-1704230633-HN-159-2.html")</f>
        <v>https://view.gem360.in/gem360/1704230633-HN-159-2/gem360-1704230633-HN-159-2.html</v>
      </c>
    </row>
    <row r="116" spans="1:54" ht="16" x14ac:dyDescent="0.2">
      <c r="A116" s="4" t="s">
        <v>176</v>
      </c>
      <c r="B116" s="7" t="s">
        <v>536</v>
      </c>
      <c r="C116" s="4" t="s">
        <v>554</v>
      </c>
      <c r="D116" s="8">
        <v>1.52</v>
      </c>
      <c r="E116" s="9" t="s">
        <v>536</v>
      </c>
      <c r="F116" s="4" t="s">
        <v>549</v>
      </c>
      <c r="G116" s="4" t="s">
        <v>539</v>
      </c>
      <c r="H116" s="4" t="s">
        <v>540</v>
      </c>
      <c r="I116" s="4" t="s">
        <v>540</v>
      </c>
      <c r="J116" s="4" t="s">
        <v>541</v>
      </c>
      <c r="L116" s="4" t="s">
        <v>680</v>
      </c>
      <c r="O116" s="4" t="s">
        <v>1040</v>
      </c>
      <c r="P116" s="4">
        <v>560231270</v>
      </c>
      <c r="R116" s="4">
        <v>8600</v>
      </c>
      <c r="S116">
        <f t="shared" si="2"/>
        <v>13072</v>
      </c>
      <c r="T116" s="7">
        <v>-96</v>
      </c>
      <c r="U116">
        <f t="shared" si="3"/>
        <v>522.88</v>
      </c>
      <c r="V116" s="4">
        <v>68</v>
      </c>
      <c r="W116" s="4">
        <v>66</v>
      </c>
      <c r="BB116" s="20" t="str">
        <f>HYPERLINK("https://v360.in/diamondview.aspx?cid=preet&amp;d=HN-129-10","https://v360.in/diamondview.aspx?cid=preet&amp;d=HN-129-10")</f>
        <v>https://v360.in/diamondview.aspx?cid=preet&amp;d=HN-129-10</v>
      </c>
    </row>
    <row r="117" spans="1:54" ht="16" x14ac:dyDescent="0.2">
      <c r="A117" s="4" t="s">
        <v>177</v>
      </c>
      <c r="B117" s="7" t="s">
        <v>536</v>
      </c>
      <c r="C117" s="4" t="s">
        <v>554</v>
      </c>
      <c r="D117" s="8">
        <v>1.51</v>
      </c>
      <c r="E117" s="9" t="s">
        <v>546</v>
      </c>
      <c r="F117" s="4" t="s">
        <v>547</v>
      </c>
      <c r="G117" s="4" t="s">
        <v>539</v>
      </c>
      <c r="H117" s="4" t="s">
        <v>540</v>
      </c>
      <c r="I117" s="4" t="s">
        <v>540</v>
      </c>
      <c r="J117" s="4" t="s">
        <v>541</v>
      </c>
      <c r="L117" s="4" t="s">
        <v>681</v>
      </c>
      <c r="O117" s="4" t="s">
        <v>1040</v>
      </c>
      <c r="P117" s="4">
        <v>571307676</v>
      </c>
      <c r="R117" s="4">
        <v>12700</v>
      </c>
      <c r="S117">
        <f t="shared" si="2"/>
        <v>19177</v>
      </c>
      <c r="T117" s="7">
        <v>-96</v>
      </c>
      <c r="U117">
        <f t="shared" si="3"/>
        <v>767.08</v>
      </c>
      <c r="V117" s="15">
        <v>0.67500000000000004</v>
      </c>
      <c r="W117" s="16">
        <v>0.62</v>
      </c>
      <c r="BB117" s="20" t="str">
        <f>HYPERLINK("https://v360.in/diamondview.aspx?cid=preet&amp;d=HN-150-5","https://v360.in/diamondview.aspx?cid=preet&amp;d=HN-150-5")</f>
        <v>https://v360.in/diamondview.aspx?cid=preet&amp;d=HN-150-5</v>
      </c>
    </row>
    <row r="118" spans="1:54" ht="16" x14ac:dyDescent="0.2">
      <c r="A118" s="4" t="s">
        <v>178</v>
      </c>
      <c r="B118" s="7" t="s">
        <v>536</v>
      </c>
      <c r="C118" s="4" t="s">
        <v>554</v>
      </c>
      <c r="D118" s="8">
        <v>1.51</v>
      </c>
      <c r="E118" s="9" t="s">
        <v>546</v>
      </c>
      <c r="F118" s="4" t="s">
        <v>538</v>
      </c>
      <c r="G118" s="4" t="s">
        <v>539</v>
      </c>
      <c r="H118" s="4" t="s">
        <v>540</v>
      </c>
      <c r="I118" s="4" t="s">
        <v>540</v>
      </c>
      <c r="J118" s="4" t="s">
        <v>541</v>
      </c>
      <c r="L118" s="4" t="s">
        <v>682</v>
      </c>
      <c r="O118" s="4" t="s">
        <v>1040</v>
      </c>
      <c r="P118" s="4">
        <v>553219372</v>
      </c>
      <c r="R118" s="4">
        <v>10900</v>
      </c>
      <c r="S118">
        <f t="shared" si="2"/>
        <v>16459</v>
      </c>
      <c r="T118" s="7">
        <v>-96</v>
      </c>
      <c r="U118">
        <f t="shared" si="3"/>
        <v>658.36</v>
      </c>
      <c r="V118" s="15">
        <v>0.70299999999999996</v>
      </c>
      <c r="W118" s="16">
        <v>0.65</v>
      </c>
      <c r="BB118" s="20" t="str">
        <f>HYPERLINK("https://v360.in/diamondview.aspx?cid=preet&amp;d=HN-128-19","https://v360.in/diamondview.aspx?cid=preet&amp;d=HN-128-19")</f>
        <v>https://v360.in/diamondview.aspx?cid=preet&amp;d=HN-128-19</v>
      </c>
    </row>
    <row r="119" spans="1:54" ht="16" x14ac:dyDescent="0.2">
      <c r="A119" s="4" t="s">
        <v>179</v>
      </c>
      <c r="B119" s="7" t="s">
        <v>536</v>
      </c>
      <c r="C119" s="4" t="s">
        <v>554</v>
      </c>
      <c r="D119" s="8">
        <v>1.51</v>
      </c>
      <c r="E119" s="9" t="s">
        <v>536</v>
      </c>
      <c r="F119" s="4" t="s">
        <v>544</v>
      </c>
      <c r="G119" s="4" t="s">
        <v>539</v>
      </c>
      <c r="H119" s="4" t="s">
        <v>540</v>
      </c>
      <c r="I119" s="4" t="s">
        <v>540</v>
      </c>
      <c r="J119" s="4" t="s">
        <v>541</v>
      </c>
      <c r="L119" s="4" t="s">
        <v>683</v>
      </c>
      <c r="O119" s="4" t="s">
        <v>1040</v>
      </c>
      <c r="P119" s="4">
        <v>572327215</v>
      </c>
      <c r="R119" s="4">
        <v>11200</v>
      </c>
      <c r="S119">
        <f t="shared" si="2"/>
        <v>16912</v>
      </c>
      <c r="T119" s="7">
        <v>-96</v>
      </c>
      <c r="U119">
        <f t="shared" si="3"/>
        <v>676.48</v>
      </c>
      <c r="V119" s="15">
        <v>0.67300000000000004</v>
      </c>
      <c r="W119" s="16">
        <v>0.63</v>
      </c>
      <c r="BB119" s="20" t="str">
        <f>HYPERLINK("https://v360.in/diamondview.aspx?cid=preet&amp;d=HN-151-4","https://v360.in/diamondview.aspx?cid=preet&amp;d=HN-151-4")</f>
        <v>https://v360.in/diamondview.aspx?cid=preet&amp;d=HN-151-4</v>
      </c>
    </row>
    <row r="120" spans="1:54" ht="16" x14ac:dyDescent="0.2">
      <c r="A120" s="4" t="s">
        <v>180</v>
      </c>
      <c r="B120" s="7" t="s">
        <v>536</v>
      </c>
      <c r="C120" s="4" t="s">
        <v>554</v>
      </c>
      <c r="D120" s="8">
        <v>1.5</v>
      </c>
      <c r="E120" s="9" t="s">
        <v>536</v>
      </c>
      <c r="F120" s="4" t="s">
        <v>544</v>
      </c>
      <c r="G120" s="4" t="s">
        <v>539</v>
      </c>
      <c r="H120" s="4" t="s">
        <v>540</v>
      </c>
      <c r="I120" s="4" t="s">
        <v>540</v>
      </c>
      <c r="J120" s="4" t="s">
        <v>541</v>
      </c>
      <c r="L120" s="4" t="s">
        <v>684</v>
      </c>
      <c r="O120" s="4" t="s">
        <v>1040</v>
      </c>
      <c r="P120" s="4">
        <v>570376211</v>
      </c>
      <c r="R120" s="4">
        <v>11200</v>
      </c>
      <c r="S120">
        <f t="shared" si="2"/>
        <v>16800</v>
      </c>
      <c r="T120" s="7">
        <v>-96</v>
      </c>
      <c r="U120">
        <f t="shared" si="3"/>
        <v>672</v>
      </c>
      <c r="V120" s="15">
        <v>0.65800000000000003</v>
      </c>
      <c r="W120" s="16">
        <v>0.64</v>
      </c>
      <c r="BB120" s="20" t="str">
        <f>HYPERLINK("https://view.gem360.in/gem360/0304230819-HN-142-42/gem360-0304230819-HN-142-42.html","https://view.gem360.in/gem360/0304230819-HN-142-42/gem360-0304230819-HN-142-42.html")</f>
        <v>https://view.gem360.in/gem360/0304230819-HN-142-42/gem360-0304230819-HN-142-42.html</v>
      </c>
    </row>
    <row r="121" spans="1:54" ht="16" x14ac:dyDescent="0.2">
      <c r="A121" s="4" t="s">
        <v>181</v>
      </c>
      <c r="B121" s="7" t="s">
        <v>536</v>
      </c>
      <c r="C121" s="4" t="s">
        <v>554</v>
      </c>
      <c r="D121" s="8">
        <v>1.47</v>
      </c>
      <c r="E121" s="9" t="s">
        <v>546</v>
      </c>
      <c r="F121" s="4" t="s">
        <v>547</v>
      </c>
      <c r="G121" s="4" t="s">
        <v>539</v>
      </c>
      <c r="H121" s="4" t="s">
        <v>540</v>
      </c>
      <c r="I121" s="4" t="s">
        <v>540</v>
      </c>
      <c r="J121" s="4" t="s">
        <v>541</v>
      </c>
      <c r="L121" s="4" t="s">
        <v>685</v>
      </c>
      <c r="O121" s="4" t="s">
        <v>1040</v>
      </c>
      <c r="P121" s="4">
        <v>571301039</v>
      </c>
      <c r="R121" s="4">
        <v>8000</v>
      </c>
      <c r="S121">
        <f t="shared" si="2"/>
        <v>11760</v>
      </c>
      <c r="T121" s="7">
        <v>-96</v>
      </c>
      <c r="U121">
        <f t="shared" si="3"/>
        <v>470.4</v>
      </c>
      <c r="V121" s="15">
        <v>0.65400000000000003</v>
      </c>
      <c r="W121" s="15">
        <v>0.68500000000000005</v>
      </c>
      <c r="BB121" s="20" t="str">
        <f>HYPERLINK("https://v360.in/diamondview.aspx?cid=preet&amp;d=HN-141-38","https://v360.in/diamondview.aspx?cid=preet&amp;d=HN-141-38")</f>
        <v>https://v360.in/diamondview.aspx?cid=preet&amp;d=HN-141-38</v>
      </c>
    </row>
    <row r="122" spans="1:54" ht="16" x14ac:dyDescent="0.2">
      <c r="A122" s="4" t="s">
        <v>182</v>
      </c>
      <c r="B122" s="7" t="s">
        <v>536</v>
      </c>
      <c r="C122" s="4" t="s">
        <v>554</v>
      </c>
      <c r="D122" s="8">
        <v>1.42</v>
      </c>
      <c r="E122" s="9" t="s">
        <v>542</v>
      </c>
      <c r="F122" s="4" t="s">
        <v>544</v>
      </c>
      <c r="G122" s="4" t="s">
        <v>539</v>
      </c>
      <c r="H122" s="4" t="s">
        <v>540</v>
      </c>
      <c r="I122" s="4" t="s">
        <v>540</v>
      </c>
      <c r="J122" s="4" t="s">
        <v>541</v>
      </c>
      <c r="L122" s="4" t="s">
        <v>686</v>
      </c>
      <c r="O122" s="4" t="s">
        <v>1040</v>
      </c>
      <c r="P122" s="4">
        <v>575396018</v>
      </c>
      <c r="R122" s="4">
        <v>6000</v>
      </c>
      <c r="S122">
        <f t="shared" si="2"/>
        <v>8520</v>
      </c>
      <c r="T122" s="7">
        <v>-96</v>
      </c>
      <c r="U122">
        <f t="shared" si="3"/>
        <v>340.79999999999995</v>
      </c>
      <c r="V122" s="15">
        <v>0.65300000000000002</v>
      </c>
      <c r="W122" s="16">
        <v>0.63</v>
      </c>
      <c r="BB122" s="20" t="str">
        <f>HYPERLINK("https://view.gem360.in/gem360/1704230637-HN-159-5/gem360-1704230637-HN-159-5.html","https://view.gem360.in/gem360/1704230637-HN-159-5/gem360-1704230637-HN-159-5.html")</f>
        <v>https://view.gem360.in/gem360/1704230637-HN-159-5/gem360-1704230637-HN-159-5.html</v>
      </c>
    </row>
    <row r="123" spans="1:54" ht="16" x14ac:dyDescent="0.2">
      <c r="A123" s="4" t="s">
        <v>183</v>
      </c>
      <c r="B123" s="7" t="s">
        <v>536</v>
      </c>
      <c r="C123" s="4" t="s">
        <v>554</v>
      </c>
      <c r="D123" s="8">
        <v>1.37</v>
      </c>
      <c r="E123" s="9" t="s">
        <v>542</v>
      </c>
      <c r="F123" s="4" t="s">
        <v>544</v>
      </c>
      <c r="G123" s="4" t="s">
        <v>539</v>
      </c>
      <c r="H123" s="4" t="s">
        <v>540</v>
      </c>
      <c r="I123" s="4" t="s">
        <v>540</v>
      </c>
      <c r="J123" s="4" t="s">
        <v>541</v>
      </c>
      <c r="L123" s="4" t="s">
        <v>687</v>
      </c>
      <c r="O123" s="4" t="s">
        <v>1040</v>
      </c>
      <c r="P123" s="4">
        <v>574340139</v>
      </c>
      <c r="R123" s="4">
        <v>6000</v>
      </c>
      <c r="S123">
        <f t="shared" si="2"/>
        <v>8220</v>
      </c>
      <c r="T123" s="7">
        <v>-96</v>
      </c>
      <c r="U123">
        <f t="shared" si="3"/>
        <v>328.8</v>
      </c>
      <c r="V123" s="15">
        <v>0.63600000000000001</v>
      </c>
      <c r="W123" s="15">
        <v>0.625</v>
      </c>
      <c r="BB123" s="20" t="str">
        <f>HYPERLINK("https://view.gem360.in/gem360/1304230549-HN-154-7/gem360-1304230549-HN-154-7.html","https://view.gem360.in/gem360/1304230549-HN-154-7/gem360-1304230549-HN-154-7.html")</f>
        <v>https://view.gem360.in/gem360/1304230549-HN-154-7/gem360-1304230549-HN-154-7.html</v>
      </c>
    </row>
    <row r="124" spans="1:54" ht="16" x14ac:dyDescent="0.2">
      <c r="A124" s="4" t="s">
        <v>184</v>
      </c>
      <c r="B124" s="7" t="s">
        <v>536</v>
      </c>
      <c r="C124" s="4" t="s">
        <v>554</v>
      </c>
      <c r="D124" s="8">
        <v>1.36</v>
      </c>
      <c r="E124" s="9" t="s">
        <v>546</v>
      </c>
      <c r="F124" s="4" t="s">
        <v>544</v>
      </c>
      <c r="G124" s="4" t="s">
        <v>539</v>
      </c>
      <c r="H124" s="4" t="s">
        <v>540</v>
      </c>
      <c r="I124" s="4" t="s">
        <v>540</v>
      </c>
      <c r="J124" s="4" t="s">
        <v>541</v>
      </c>
      <c r="L124" s="4" t="s">
        <v>688</v>
      </c>
      <c r="O124" s="4" t="s">
        <v>1040</v>
      </c>
      <c r="P124" s="4">
        <v>584379534</v>
      </c>
      <c r="R124" s="4">
        <v>7500</v>
      </c>
      <c r="S124">
        <f t="shared" si="2"/>
        <v>10200</v>
      </c>
      <c r="T124" s="7">
        <v>-96</v>
      </c>
      <c r="U124">
        <f t="shared" si="3"/>
        <v>408.00000000000006</v>
      </c>
      <c r="V124" s="15">
        <v>0.63100000000000001</v>
      </c>
      <c r="W124" s="16">
        <v>0.71</v>
      </c>
      <c r="BB124" s="20" t="str">
        <f>HYPERLINK("https://view.gem360.in/gem360/0706230516-HN-743/gem360-0706230516-HN-743.html","https://view.gem360.in/gem360/0706230516-HN-743/gem360-0706230516-HN-743.html")</f>
        <v>https://view.gem360.in/gem360/0706230516-HN-743/gem360-0706230516-HN-743.html</v>
      </c>
    </row>
    <row r="125" spans="1:54" ht="16" x14ac:dyDescent="0.2">
      <c r="A125" s="4" t="s">
        <v>185</v>
      </c>
      <c r="B125" s="7" t="s">
        <v>536</v>
      </c>
      <c r="C125" s="4" t="s">
        <v>554</v>
      </c>
      <c r="D125" s="8">
        <v>1.31</v>
      </c>
      <c r="E125" s="9" t="s">
        <v>536</v>
      </c>
      <c r="F125" s="4" t="s">
        <v>544</v>
      </c>
      <c r="G125" s="4" t="s">
        <v>539</v>
      </c>
      <c r="H125" s="4" t="s">
        <v>540</v>
      </c>
      <c r="I125" s="4" t="s">
        <v>540</v>
      </c>
      <c r="J125" s="4" t="s">
        <v>541</v>
      </c>
      <c r="L125" s="4" t="s">
        <v>689</v>
      </c>
      <c r="O125" s="4" t="s">
        <v>1040</v>
      </c>
      <c r="P125" s="4">
        <v>573396355</v>
      </c>
      <c r="R125" s="4">
        <v>7000</v>
      </c>
      <c r="S125">
        <f t="shared" si="2"/>
        <v>9170</v>
      </c>
      <c r="T125" s="7">
        <v>-96</v>
      </c>
      <c r="U125">
        <f t="shared" si="3"/>
        <v>366.8</v>
      </c>
      <c r="V125" s="15">
        <v>0.66300000000000003</v>
      </c>
      <c r="W125" s="15">
        <v>0.61499999999999999</v>
      </c>
      <c r="BB125" s="20" t="str">
        <f>HYPERLINK("https://view.gem360.in/gem360/0504230652-HN-152-18/gem360-0504230652-HN-152-18.html","https://view.gem360.in/gem360/0504230652-HN-152-18/gem360-0504230652-HN-152-18.html")</f>
        <v>https://view.gem360.in/gem360/0504230652-HN-152-18/gem360-0504230652-HN-152-18.html</v>
      </c>
    </row>
    <row r="126" spans="1:54" ht="16" x14ac:dyDescent="0.2">
      <c r="A126" s="4" t="s">
        <v>186</v>
      </c>
      <c r="B126" s="7" t="s">
        <v>536</v>
      </c>
      <c r="C126" s="4" t="s">
        <v>554</v>
      </c>
      <c r="D126" s="8">
        <v>1.29</v>
      </c>
      <c r="E126" s="9" t="s">
        <v>536</v>
      </c>
      <c r="F126" s="4" t="s">
        <v>544</v>
      </c>
      <c r="G126" s="4" t="s">
        <v>539</v>
      </c>
      <c r="H126" s="4" t="s">
        <v>540</v>
      </c>
      <c r="I126" s="4" t="s">
        <v>540</v>
      </c>
      <c r="J126" s="4" t="s">
        <v>541</v>
      </c>
      <c r="L126" s="4" t="s">
        <v>690</v>
      </c>
      <c r="O126" s="4" t="s">
        <v>1040</v>
      </c>
      <c r="P126" s="4">
        <v>575396021</v>
      </c>
      <c r="R126" s="4">
        <v>7000</v>
      </c>
      <c r="S126">
        <f t="shared" si="2"/>
        <v>9030</v>
      </c>
      <c r="T126" s="7">
        <v>-96</v>
      </c>
      <c r="U126">
        <f t="shared" si="3"/>
        <v>361.2</v>
      </c>
      <c r="V126" s="15">
        <v>0.63800000000000001</v>
      </c>
      <c r="W126" s="15">
        <v>0.69499999999999995</v>
      </c>
      <c r="BB126" s="20" t="str">
        <f>HYPERLINK("https://view.gem360.in/gem360/1704230641-HN-159-8/gem360-1704230641-HN-159-8.html","https://view.gem360.in/gem360/1704230641-HN-159-8/gem360-1704230641-HN-159-8.html")</f>
        <v>https://view.gem360.in/gem360/1704230641-HN-159-8/gem360-1704230641-HN-159-8.html</v>
      </c>
    </row>
    <row r="127" spans="1:54" ht="16" x14ac:dyDescent="0.2">
      <c r="A127" s="4" t="s">
        <v>187</v>
      </c>
      <c r="B127" s="7" t="s">
        <v>536</v>
      </c>
      <c r="C127" s="4" t="s">
        <v>554</v>
      </c>
      <c r="D127" s="8">
        <v>1.27</v>
      </c>
      <c r="E127" s="9" t="s">
        <v>536</v>
      </c>
      <c r="F127" s="4" t="s">
        <v>544</v>
      </c>
      <c r="G127" s="4" t="s">
        <v>539</v>
      </c>
      <c r="H127" s="4" t="s">
        <v>540</v>
      </c>
      <c r="I127" s="4" t="s">
        <v>540</v>
      </c>
      <c r="J127" s="4" t="s">
        <v>541</v>
      </c>
      <c r="L127" s="4" t="s">
        <v>691</v>
      </c>
      <c r="O127" s="4" t="s">
        <v>1040</v>
      </c>
      <c r="P127" s="4">
        <v>570370826</v>
      </c>
      <c r="R127" s="4">
        <v>7000</v>
      </c>
      <c r="S127">
        <f t="shared" si="2"/>
        <v>8890</v>
      </c>
      <c r="T127" s="7">
        <v>-96</v>
      </c>
      <c r="U127">
        <f t="shared" si="3"/>
        <v>355.6</v>
      </c>
      <c r="V127" s="15">
        <v>0.60899999999999999</v>
      </c>
      <c r="W127" s="15">
        <v>0.72499999999999998</v>
      </c>
      <c r="BB127" s="20" t="str">
        <f>HYPERLINK("https://v360.in/diamondview.aspx?cid=preet&amp;d=HN-147-20","https://v360.in/diamondview.aspx?cid=preet&amp;d=HN-147-20")</f>
        <v>https://v360.in/diamondview.aspx?cid=preet&amp;d=HN-147-20</v>
      </c>
    </row>
    <row r="128" spans="1:54" ht="16" x14ac:dyDescent="0.2">
      <c r="A128" s="4" t="s">
        <v>188</v>
      </c>
      <c r="B128" s="7" t="s">
        <v>536</v>
      </c>
      <c r="C128" s="4" t="s">
        <v>554</v>
      </c>
      <c r="D128" s="8">
        <v>1.24</v>
      </c>
      <c r="E128" s="9" t="s">
        <v>542</v>
      </c>
      <c r="F128" s="4" t="s">
        <v>544</v>
      </c>
      <c r="G128" s="4" t="s">
        <v>539</v>
      </c>
      <c r="H128" s="4" t="s">
        <v>540</v>
      </c>
      <c r="I128" s="4" t="s">
        <v>540</v>
      </c>
      <c r="J128" s="4" t="s">
        <v>541</v>
      </c>
      <c r="L128" s="4" t="s">
        <v>692</v>
      </c>
      <c r="O128" s="4" t="s">
        <v>1040</v>
      </c>
      <c r="P128" s="4">
        <v>575396016</v>
      </c>
      <c r="R128" s="4">
        <v>6000</v>
      </c>
      <c r="S128">
        <f t="shared" si="2"/>
        <v>7440</v>
      </c>
      <c r="T128" s="7">
        <v>-96</v>
      </c>
      <c r="U128">
        <f t="shared" si="3"/>
        <v>297.60000000000002</v>
      </c>
      <c r="V128" s="15">
        <v>0.63500000000000001</v>
      </c>
      <c r="W128" s="16">
        <v>0.68</v>
      </c>
      <c r="BB128" s="20" t="str">
        <f>HYPERLINK("https://view.gem360.in/gem360/1704230645-HN-159-3/gem360-1704230645-HN-159-3.html","https://view.gem360.in/gem360/1704230645-HN-159-3/gem360-1704230645-HN-159-3.html")</f>
        <v>https://view.gem360.in/gem360/1704230645-HN-159-3/gem360-1704230645-HN-159-3.html</v>
      </c>
    </row>
    <row r="129" spans="1:54" ht="16" x14ac:dyDescent="0.2">
      <c r="A129" s="4" t="s">
        <v>189</v>
      </c>
      <c r="B129" s="7" t="s">
        <v>536</v>
      </c>
      <c r="C129" s="4" t="s">
        <v>554</v>
      </c>
      <c r="D129" s="8">
        <v>1.22</v>
      </c>
      <c r="E129" s="9" t="s">
        <v>536</v>
      </c>
      <c r="F129" s="4" t="s">
        <v>538</v>
      </c>
      <c r="G129" s="4" t="s">
        <v>539</v>
      </c>
      <c r="H129" s="4" t="s">
        <v>540</v>
      </c>
      <c r="I129" s="4" t="s">
        <v>540</v>
      </c>
      <c r="J129" s="4" t="s">
        <v>541</v>
      </c>
      <c r="L129" s="4" t="s">
        <v>693</v>
      </c>
      <c r="O129" s="4" t="s">
        <v>1040</v>
      </c>
      <c r="P129" s="4">
        <v>570376189</v>
      </c>
      <c r="R129" s="4">
        <v>6600</v>
      </c>
      <c r="S129">
        <f t="shared" si="2"/>
        <v>8052</v>
      </c>
      <c r="T129" s="7">
        <v>-96</v>
      </c>
      <c r="U129">
        <f t="shared" si="3"/>
        <v>322.08</v>
      </c>
      <c r="V129" s="15">
        <v>0.65900000000000003</v>
      </c>
      <c r="W129" s="15">
        <v>0.70499999999999996</v>
      </c>
      <c r="BB129" s="20" t="str">
        <f>HYPERLINK("https://v360.in/diamondview.aspx?cid=preet&amp;d=HN-148-3","https://v360.in/diamondview.aspx?cid=preet&amp;d=HN-148-3")</f>
        <v>https://v360.in/diamondview.aspx?cid=preet&amp;d=HN-148-3</v>
      </c>
    </row>
    <row r="130" spans="1:54" ht="16" x14ac:dyDescent="0.2">
      <c r="A130" s="4" t="s">
        <v>190</v>
      </c>
      <c r="B130" s="7" t="s">
        <v>536</v>
      </c>
      <c r="C130" s="4" t="s">
        <v>554</v>
      </c>
      <c r="D130" s="8">
        <v>1.22</v>
      </c>
      <c r="E130" s="9" t="s">
        <v>542</v>
      </c>
      <c r="F130" s="4" t="s">
        <v>544</v>
      </c>
      <c r="G130" s="4" t="s">
        <v>539</v>
      </c>
      <c r="H130" s="4" t="s">
        <v>540</v>
      </c>
      <c r="I130" s="4" t="s">
        <v>540</v>
      </c>
      <c r="J130" s="4" t="s">
        <v>541</v>
      </c>
      <c r="L130" s="4" t="s">
        <v>694</v>
      </c>
      <c r="O130" s="4" t="s">
        <v>1040</v>
      </c>
      <c r="P130" s="4">
        <v>571301038</v>
      </c>
      <c r="R130" s="4">
        <v>6000</v>
      </c>
      <c r="S130">
        <f t="shared" si="2"/>
        <v>7320</v>
      </c>
      <c r="T130" s="7">
        <v>-96</v>
      </c>
      <c r="U130">
        <f t="shared" si="3"/>
        <v>292.8</v>
      </c>
      <c r="V130" s="15">
        <v>0.67700000000000005</v>
      </c>
      <c r="W130" s="16">
        <v>0.68</v>
      </c>
      <c r="BB130" s="20" t="str">
        <f>HYPERLINK("https://v360.in/diamondview.aspx?cid=preet&amp;d=HN-141-37","https://v360.in/diamondview.aspx?cid=preet&amp;d=HN-141-37")</f>
        <v>https://v360.in/diamondview.aspx?cid=preet&amp;d=HN-141-37</v>
      </c>
    </row>
    <row r="131" spans="1:54" ht="16" x14ac:dyDescent="0.2">
      <c r="A131" s="4" t="s">
        <v>191</v>
      </c>
      <c r="B131" s="7" t="s">
        <v>536</v>
      </c>
      <c r="C131" s="4" t="s">
        <v>554</v>
      </c>
      <c r="D131" s="8">
        <v>1.19</v>
      </c>
      <c r="E131" s="9" t="s">
        <v>546</v>
      </c>
      <c r="F131" s="4" t="s">
        <v>544</v>
      </c>
      <c r="G131" s="4" t="s">
        <v>539</v>
      </c>
      <c r="H131" s="4" t="s">
        <v>540</v>
      </c>
      <c r="I131" s="4" t="s">
        <v>540</v>
      </c>
      <c r="J131" s="4" t="s">
        <v>541</v>
      </c>
      <c r="L131" s="4" t="s">
        <v>695</v>
      </c>
      <c r="O131" s="4" t="s">
        <v>1040</v>
      </c>
      <c r="P131" s="4">
        <v>571301037</v>
      </c>
      <c r="R131" s="4">
        <v>7500</v>
      </c>
      <c r="S131">
        <f t="shared" ref="S131:S194" si="4">R131*D131</f>
        <v>8925</v>
      </c>
      <c r="T131" s="7">
        <v>-96</v>
      </c>
      <c r="U131">
        <f t="shared" ref="U131:U194" si="5">(R131+(R131*T131)/100)*D131</f>
        <v>357</v>
      </c>
      <c r="V131" s="15">
        <v>0.67400000000000004</v>
      </c>
      <c r="W131" s="16">
        <v>0.68</v>
      </c>
      <c r="BB131" s="20" t="str">
        <f>HYPERLINK("https://v360.in/diamondview.aspx?cid=preet&amp;d=HN-141-36","https://v360.in/diamondview.aspx?cid=preet&amp;d=HN-141-36")</f>
        <v>https://v360.in/diamondview.aspx?cid=preet&amp;d=HN-141-36</v>
      </c>
    </row>
    <row r="132" spans="1:54" ht="16" x14ac:dyDescent="0.2">
      <c r="A132" s="4" t="s">
        <v>192</v>
      </c>
      <c r="B132" s="7" t="s">
        <v>536</v>
      </c>
      <c r="C132" s="4" t="s">
        <v>554</v>
      </c>
      <c r="D132" s="8">
        <v>1.1499999999999999</v>
      </c>
      <c r="E132" s="9" t="s">
        <v>542</v>
      </c>
      <c r="F132" s="4" t="s">
        <v>544</v>
      </c>
      <c r="G132" s="4" t="s">
        <v>539</v>
      </c>
      <c r="H132" s="4" t="s">
        <v>540</v>
      </c>
      <c r="I132" s="4" t="s">
        <v>540</v>
      </c>
      <c r="J132" s="4" t="s">
        <v>541</v>
      </c>
      <c r="L132" s="4" t="s">
        <v>696</v>
      </c>
      <c r="O132" s="4" t="s">
        <v>1040</v>
      </c>
      <c r="P132" s="4">
        <v>573396354</v>
      </c>
      <c r="R132" s="4">
        <v>6000</v>
      </c>
      <c r="S132">
        <f t="shared" si="4"/>
        <v>6899.9999999999991</v>
      </c>
      <c r="T132" s="7">
        <v>-96</v>
      </c>
      <c r="U132">
        <f t="shared" si="5"/>
        <v>276</v>
      </c>
      <c r="V132" s="15">
        <v>0.64600000000000002</v>
      </c>
      <c r="W132" s="16">
        <v>0.63</v>
      </c>
      <c r="BB132" s="20" t="str">
        <f>HYPERLINK("https://view.gem360.in/gem360/0604230848-HN-152-17/gem360-0604230848-HN-152-17.html","https://view.gem360.in/gem360/0604230848-HN-152-17/gem360-0604230848-HN-152-17.html")</f>
        <v>https://view.gem360.in/gem360/0604230848-HN-152-17/gem360-0604230848-HN-152-17.html</v>
      </c>
    </row>
    <row r="133" spans="1:54" ht="16" x14ac:dyDescent="0.2">
      <c r="A133" s="4" t="s">
        <v>193</v>
      </c>
      <c r="B133" s="7" t="s">
        <v>536</v>
      </c>
      <c r="C133" s="4" t="s">
        <v>554</v>
      </c>
      <c r="D133" s="8">
        <v>1.1399999999999999</v>
      </c>
      <c r="E133" s="9" t="s">
        <v>546</v>
      </c>
      <c r="F133" s="4" t="s">
        <v>547</v>
      </c>
      <c r="G133" s="4" t="s">
        <v>539</v>
      </c>
      <c r="H133" s="4" t="s">
        <v>540</v>
      </c>
      <c r="I133" s="4" t="s">
        <v>540</v>
      </c>
      <c r="J133" s="4" t="s">
        <v>541</v>
      </c>
      <c r="L133" s="4" t="s">
        <v>697</v>
      </c>
      <c r="O133" s="4" t="s">
        <v>1040</v>
      </c>
      <c r="P133" s="4">
        <v>575396017</v>
      </c>
      <c r="R133" s="4">
        <v>8000</v>
      </c>
      <c r="S133">
        <f t="shared" si="4"/>
        <v>9120</v>
      </c>
      <c r="T133" s="7">
        <v>-96</v>
      </c>
      <c r="U133">
        <f t="shared" si="5"/>
        <v>364.79999999999995</v>
      </c>
      <c r="V133" s="16">
        <v>0.69</v>
      </c>
      <c r="W133" s="15">
        <v>0.66500000000000004</v>
      </c>
      <c r="BB133" s="20" t="str">
        <f>HYPERLINK("https://view.gem360.in/gem360/1704230648-HN-159-4/gem360-1704230648-HN-159-4.html","https://view.gem360.in/gem360/1704230648-HN-159-4/gem360-1704230648-HN-159-4.html")</f>
        <v>https://view.gem360.in/gem360/1704230648-HN-159-4/gem360-1704230648-HN-159-4.html</v>
      </c>
    </row>
    <row r="134" spans="1:54" ht="16" x14ac:dyDescent="0.2">
      <c r="A134" s="4" t="s">
        <v>194</v>
      </c>
      <c r="B134" s="7" t="s">
        <v>536</v>
      </c>
      <c r="C134" s="4" t="s">
        <v>554</v>
      </c>
      <c r="D134" s="8">
        <v>1.1299999999999999</v>
      </c>
      <c r="E134" s="9" t="s">
        <v>546</v>
      </c>
      <c r="F134" s="4" t="s">
        <v>544</v>
      </c>
      <c r="G134" s="4" t="s">
        <v>539</v>
      </c>
      <c r="H134" s="4" t="s">
        <v>540</v>
      </c>
      <c r="I134" s="4" t="s">
        <v>551</v>
      </c>
      <c r="J134" s="4" t="s">
        <v>541</v>
      </c>
      <c r="L134" s="4" t="s">
        <v>698</v>
      </c>
      <c r="O134" s="4" t="s">
        <v>1040</v>
      </c>
      <c r="P134" s="4">
        <v>566393807</v>
      </c>
      <c r="R134" s="4">
        <v>7500</v>
      </c>
      <c r="S134">
        <f t="shared" si="4"/>
        <v>8475</v>
      </c>
      <c r="T134" s="7">
        <v>-96</v>
      </c>
      <c r="U134">
        <f t="shared" si="5"/>
        <v>338.99999999999994</v>
      </c>
      <c r="V134" s="16">
        <v>0.7</v>
      </c>
      <c r="W134" s="16">
        <v>0.65</v>
      </c>
      <c r="BB134" s="20" t="str">
        <f>HYPERLINK("https://v360.in/diamondview.aspx?cid=preet&amp;d=HN-135-29","https://v360.in/diamondview.aspx?cid=preet&amp;d=HN-135-29")</f>
        <v>https://v360.in/diamondview.aspx?cid=preet&amp;d=HN-135-29</v>
      </c>
    </row>
    <row r="135" spans="1:54" ht="16" x14ac:dyDescent="0.2">
      <c r="A135" s="4" t="s">
        <v>195</v>
      </c>
      <c r="B135" s="7" t="s">
        <v>536</v>
      </c>
      <c r="C135" s="4" t="s">
        <v>554</v>
      </c>
      <c r="D135" s="8">
        <v>1.1299999999999999</v>
      </c>
      <c r="E135" s="9" t="s">
        <v>546</v>
      </c>
      <c r="F135" s="4" t="s">
        <v>544</v>
      </c>
      <c r="G135" s="4" t="s">
        <v>539</v>
      </c>
      <c r="H135" s="4" t="s">
        <v>540</v>
      </c>
      <c r="I135" s="4" t="s">
        <v>540</v>
      </c>
      <c r="J135" s="4" t="s">
        <v>541</v>
      </c>
      <c r="L135" s="4" t="s">
        <v>699</v>
      </c>
      <c r="O135" s="4" t="s">
        <v>1040</v>
      </c>
      <c r="P135" s="4">
        <v>571301036</v>
      </c>
      <c r="R135" s="4">
        <v>7500</v>
      </c>
      <c r="S135">
        <f t="shared" si="4"/>
        <v>8475</v>
      </c>
      <c r="T135" s="7">
        <v>-96</v>
      </c>
      <c r="U135">
        <f t="shared" si="5"/>
        <v>338.99999999999994</v>
      </c>
      <c r="V135" s="15">
        <v>0.66400000000000003</v>
      </c>
      <c r="W135" s="15">
        <v>0.64500000000000002</v>
      </c>
      <c r="BB135" s="20" t="str">
        <f>HYPERLINK("https://v360.in/diamondview.aspx?cid=preet&amp;d=HN-141-35","https://v360.in/diamondview.aspx?cid=preet&amp;d=HN-141-35")</f>
        <v>https://v360.in/diamondview.aspx?cid=preet&amp;d=HN-141-35</v>
      </c>
    </row>
    <row r="136" spans="1:54" ht="16" x14ac:dyDescent="0.2">
      <c r="A136" s="4" t="s">
        <v>196</v>
      </c>
      <c r="B136" s="7" t="s">
        <v>536</v>
      </c>
      <c r="C136" s="4" t="s">
        <v>554</v>
      </c>
      <c r="D136" s="8">
        <v>1.1200000000000001</v>
      </c>
      <c r="E136" s="9" t="s">
        <v>546</v>
      </c>
      <c r="F136" s="4" t="s">
        <v>538</v>
      </c>
      <c r="G136" s="4" t="s">
        <v>539</v>
      </c>
      <c r="H136" s="4" t="s">
        <v>540</v>
      </c>
      <c r="I136" s="4" t="s">
        <v>540</v>
      </c>
      <c r="J136" s="4" t="s">
        <v>541</v>
      </c>
      <c r="L136" s="4" t="s">
        <v>700</v>
      </c>
      <c r="O136" s="4" t="s">
        <v>1040</v>
      </c>
      <c r="P136" s="4">
        <v>564365280</v>
      </c>
      <c r="R136" s="4">
        <v>6900</v>
      </c>
      <c r="S136">
        <f t="shared" si="4"/>
        <v>7728.0000000000009</v>
      </c>
      <c r="T136" s="7">
        <v>-96</v>
      </c>
      <c r="U136">
        <f t="shared" si="5"/>
        <v>309.12</v>
      </c>
      <c r="V136" s="15">
        <v>0.63100000000000001</v>
      </c>
      <c r="W136" s="15">
        <v>0.61499999999999999</v>
      </c>
      <c r="BB136" s="20" t="str">
        <f>HYPERLINK("https://v360.in/diamondview.aspx?cid=preet&amp;d=HN-134-83","https://v360.in/diamondview.aspx?cid=preet&amp;d=HN-134-83")</f>
        <v>https://v360.in/diamondview.aspx?cid=preet&amp;d=HN-134-83</v>
      </c>
    </row>
    <row r="137" spans="1:54" ht="16" x14ac:dyDescent="0.2">
      <c r="A137" s="4" t="s">
        <v>197</v>
      </c>
      <c r="B137" s="7" t="s">
        <v>536</v>
      </c>
      <c r="C137" s="4" t="s">
        <v>554</v>
      </c>
      <c r="D137" s="8">
        <v>1.1000000000000001</v>
      </c>
      <c r="E137" s="9" t="s">
        <v>536</v>
      </c>
      <c r="F137" s="4" t="s">
        <v>538</v>
      </c>
      <c r="G137" s="4" t="s">
        <v>539</v>
      </c>
      <c r="H137" s="4" t="s">
        <v>540</v>
      </c>
      <c r="I137" s="4" t="s">
        <v>540</v>
      </c>
      <c r="J137" s="4" t="s">
        <v>541</v>
      </c>
      <c r="L137" s="4" t="s">
        <v>701</v>
      </c>
      <c r="O137" s="4" t="s">
        <v>1040</v>
      </c>
      <c r="P137" s="4">
        <v>566393808</v>
      </c>
      <c r="R137" s="4">
        <v>6600</v>
      </c>
      <c r="S137">
        <f t="shared" si="4"/>
        <v>7260.0000000000009</v>
      </c>
      <c r="T137" s="7">
        <v>-96</v>
      </c>
      <c r="U137">
        <f t="shared" si="5"/>
        <v>290.40000000000003</v>
      </c>
      <c r="V137" s="15">
        <v>0.67400000000000004</v>
      </c>
      <c r="W137" s="16">
        <v>0.63</v>
      </c>
      <c r="BB137" s="20" t="str">
        <f>HYPERLINK("https://v360.in/diamondview.aspx?cid=preet&amp;d=HN-135-31","https://v360.in/diamondview.aspx?cid=preet&amp;d=HN-135-31")</f>
        <v>https://v360.in/diamondview.aspx?cid=preet&amp;d=HN-135-31</v>
      </c>
    </row>
    <row r="138" spans="1:54" ht="16" x14ac:dyDescent="0.2">
      <c r="A138" s="4" t="s">
        <v>198</v>
      </c>
      <c r="B138" s="7" t="s">
        <v>536</v>
      </c>
      <c r="C138" s="4" t="s">
        <v>554</v>
      </c>
      <c r="D138" s="8">
        <v>1.0900000000000001</v>
      </c>
      <c r="E138" s="9" t="s">
        <v>542</v>
      </c>
      <c r="F138" s="4" t="s">
        <v>544</v>
      </c>
      <c r="G138" s="4" t="s">
        <v>539</v>
      </c>
      <c r="H138" s="4" t="s">
        <v>540</v>
      </c>
      <c r="I138" s="4" t="s">
        <v>540</v>
      </c>
      <c r="J138" s="4" t="s">
        <v>541</v>
      </c>
      <c r="L138" s="4" t="s">
        <v>702</v>
      </c>
      <c r="O138" s="4" t="s">
        <v>1040</v>
      </c>
      <c r="P138" s="4">
        <v>571307674</v>
      </c>
      <c r="R138" s="4">
        <v>6000</v>
      </c>
      <c r="S138">
        <f t="shared" si="4"/>
        <v>6540.0000000000009</v>
      </c>
      <c r="T138" s="7">
        <v>-96</v>
      </c>
      <c r="U138">
        <f t="shared" si="5"/>
        <v>261.60000000000002</v>
      </c>
      <c r="V138" s="16">
        <v>0.64</v>
      </c>
      <c r="W138" s="15">
        <v>0.65500000000000003</v>
      </c>
      <c r="BB138" s="20" t="str">
        <f>HYPERLINK("https://v360.in/diamondview.aspx?cid=preet&amp;d=HN-150-3","https://v360.in/diamondview.aspx?cid=preet&amp;d=HN-150-3")</f>
        <v>https://v360.in/diamondview.aspx?cid=preet&amp;d=HN-150-3</v>
      </c>
    </row>
    <row r="139" spans="1:54" ht="16" x14ac:dyDescent="0.2">
      <c r="A139" s="4" t="s">
        <v>199</v>
      </c>
      <c r="B139" s="7" t="s">
        <v>536</v>
      </c>
      <c r="C139" s="4" t="s">
        <v>554</v>
      </c>
      <c r="D139" s="8">
        <v>1.08</v>
      </c>
      <c r="E139" s="9" t="s">
        <v>542</v>
      </c>
      <c r="F139" s="4" t="s">
        <v>544</v>
      </c>
      <c r="G139" s="4" t="s">
        <v>539</v>
      </c>
      <c r="H139" s="4" t="s">
        <v>540</v>
      </c>
      <c r="I139" s="4" t="s">
        <v>540</v>
      </c>
      <c r="J139" s="4" t="s">
        <v>541</v>
      </c>
      <c r="L139" s="4" t="s">
        <v>703</v>
      </c>
      <c r="O139" s="4" t="s">
        <v>1040</v>
      </c>
      <c r="P139" s="4">
        <v>573396353</v>
      </c>
      <c r="R139" s="4">
        <v>6000</v>
      </c>
      <c r="S139">
        <f t="shared" si="4"/>
        <v>6480</v>
      </c>
      <c r="T139" s="7">
        <v>-96</v>
      </c>
      <c r="U139">
        <f t="shared" si="5"/>
        <v>259.20000000000005</v>
      </c>
      <c r="V139" s="15">
        <v>0.63600000000000001</v>
      </c>
      <c r="W139" s="15">
        <v>0.66500000000000004</v>
      </c>
      <c r="BB139" s="20" t="str">
        <f>HYPERLINK("https://view.gem360.in/gem360/0604230852-HN-152-16/gem360-0604230852-HN-152-16.html","https://view.gem360.in/gem360/0604230852-HN-152-16/gem360-0604230852-HN-152-16.html")</f>
        <v>https://view.gem360.in/gem360/0604230852-HN-152-16/gem360-0604230852-HN-152-16.html</v>
      </c>
    </row>
    <row r="140" spans="1:54" ht="16" x14ac:dyDescent="0.2">
      <c r="A140" s="4" t="s">
        <v>200</v>
      </c>
      <c r="B140" s="7" t="s">
        <v>536</v>
      </c>
      <c r="C140" s="4" t="s">
        <v>554</v>
      </c>
      <c r="D140" s="8">
        <v>1.07</v>
      </c>
      <c r="E140" s="9" t="s">
        <v>536</v>
      </c>
      <c r="F140" s="4" t="s">
        <v>544</v>
      </c>
      <c r="G140" s="4" t="s">
        <v>539</v>
      </c>
      <c r="H140" s="4" t="s">
        <v>551</v>
      </c>
      <c r="I140" s="4" t="s">
        <v>540</v>
      </c>
      <c r="J140" s="4" t="s">
        <v>541</v>
      </c>
      <c r="L140" s="4" t="s">
        <v>704</v>
      </c>
      <c r="O140" s="4" t="s">
        <v>1040</v>
      </c>
      <c r="P140" s="4">
        <v>524211510</v>
      </c>
      <c r="R140" s="4">
        <v>7000</v>
      </c>
      <c r="S140">
        <f t="shared" si="4"/>
        <v>7490</v>
      </c>
      <c r="T140" s="7">
        <v>-96</v>
      </c>
      <c r="U140">
        <f t="shared" si="5"/>
        <v>299.60000000000002</v>
      </c>
      <c r="V140" s="15">
        <v>0.68100000000000005</v>
      </c>
      <c r="W140" s="15">
        <v>0.69499999999999995</v>
      </c>
      <c r="BB140" s="20" t="str">
        <f>HYPERLINK("https://view.gem360.in/gem360/3004220455-HN43-95/gem360-3004220455-HN43-95.html","https://view.gem360.in/gem360/3004220455-HN43-95/gem360-3004220455-HN43-95.html")</f>
        <v>https://view.gem360.in/gem360/3004220455-HN43-95/gem360-3004220455-HN43-95.html</v>
      </c>
    </row>
    <row r="141" spans="1:54" ht="16" x14ac:dyDescent="0.2">
      <c r="A141" s="4" t="s">
        <v>201</v>
      </c>
      <c r="B141" s="7" t="s">
        <v>536</v>
      </c>
      <c r="C141" s="4" t="s">
        <v>554</v>
      </c>
      <c r="D141" s="8">
        <v>1.06</v>
      </c>
      <c r="E141" s="9" t="s">
        <v>546</v>
      </c>
      <c r="F141" s="4" t="s">
        <v>549</v>
      </c>
      <c r="G141" s="4" t="s">
        <v>539</v>
      </c>
      <c r="H141" s="4" t="s">
        <v>540</v>
      </c>
      <c r="I141" s="4" t="s">
        <v>540</v>
      </c>
      <c r="J141" s="4" t="s">
        <v>541</v>
      </c>
      <c r="L141" s="4" t="s">
        <v>705</v>
      </c>
      <c r="O141" s="4" t="s">
        <v>1040</v>
      </c>
      <c r="P141" s="4">
        <v>564365281</v>
      </c>
      <c r="R141" s="4">
        <v>5300</v>
      </c>
      <c r="S141">
        <f t="shared" si="4"/>
        <v>5618</v>
      </c>
      <c r="T141" s="7">
        <v>-96</v>
      </c>
      <c r="U141">
        <f t="shared" si="5"/>
        <v>224.72</v>
      </c>
      <c r="V141" s="15">
        <v>0.627</v>
      </c>
      <c r="W141" s="15">
        <v>0.64500000000000002</v>
      </c>
      <c r="BB141" s="20" t="str">
        <f>HYPERLINK("https://v360.in/diamondview.aspx?cid=preet&amp;d=HN-134-82","https://v360.in/diamondview.aspx?cid=preet&amp;d=HN-134-82")</f>
        <v>https://v360.in/diamondview.aspx?cid=preet&amp;d=HN-134-82</v>
      </c>
    </row>
    <row r="142" spans="1:54" ht="16" x14ac:dyDescent="0.2">
      <c r="A142" s="4" t="s">
        <v>202</v>
      </c>
      <c r="B142" s="7" t="s">
        <v>536</v>
      </c>
      <c r="C142" s="4" t="s">
        <v>554</v>
      </c>
      <c r="D142" s="8">
        <v>1.06</v>
      </c>
      <c r="E142" s="9" t="s">
        <v>542</v>
      </c>
      <c r="F142" s="4" t="s">
        <v>538</v>
      </c>
      <c r="G142" s="4" t="s">
        <v>539</v>
      </c>
      <c r="H142" s="4" t="s">
        <v>540</v>
      </c>
      <c r="I142" s="4" t="s">
        <v>540</v>
      </c>
      <c r="J142" s="4" t="s">
        <v>541</v>
      </c>
      <c r="L142" s="4" t="s">
        <v>706</v>
      </c>
      <c r="O142" s="4" t="s">
        <v>1040</v>
      </c>
      <c r="P142" s="4">
        <v>574340140</v>
      </c>
      <c r="R142" s="4">
        <v>5700</v>
      </c>
      <c r="S142">
        <f t="shared" si="4"/>
        <v>6042</v>
      </c>
      <c r="T142" s="7">
        <v>-96</v>
      </c>
      <c r="U142">
        <f t="shared" si="5"/>
        <v>241.68</v>
      </c>
      <c r="V142" s="15">
        <v>0.66600000000000004</v>
      </c>
      <c r="W142" s="16">
        <v>0.64</v>
      </c>
      <c r="BB142" s="20" t="str">
        <f>HYPERLINK("https://view.gem360.in/gem360/0504230538-HN-154-5/gem360-0504230538-HN-154-5.html","https://view.gem360.in/gem360/0504230538-HN-154-5/gem360-0504230538-HN-154-5.html")</f>
        <v>https://view.gem360.in/gem360/0504230538-HN-154-5/gem360-0504230538-HN-154-5.html</v>
      </c>
    </row>
    <row r="143" spans="1:54" ht="16" x14ac:dyDescent="0.2">
      <c r="A143" s="4" t="s">
        <v>203</v>
      </c>
      <c r="B143" s="7" t="s">
        <v>536</v>
      </c>
      <c r="C143" s="4" t="s">
        <v>554</v>
      </c>
      <c r="D143" s="8">
        <v>1.05</v>
      </c>
      <c r="E143" s="9" t="s">
        <v>546</v>
      </c>
      <c r="F143" s="4" t="s">
        <v>547</v>
      </c>
      <c r="G143" s="4" t="s">
        <v>539</v>
      </c>
      <c r="H143" s="4" t="s">
        <v>540</v>
      </c>
      <c r="I143" s="4" t="s">
        <v>540</v>
      </c>
      <c r="J143" s="4" t="s">
        <v>541</v>
      </c>
      <c r="L143" s="4" t="s">
        <v>707</v>
      </c>
      <c r="O143" s="4" t="s">
        <v>1040</v>
      </c>
      <c r="P143" s="4">
        <v>569328555</v>
      </c>
      <c r="R143" s="4">
        <v>8000</v>
      </c>
      <c r="S143">
        <f t="shared" si="4"/>
        <v>8400</v>
      </c>
      <c r="T143" s="7">
        <v>-96</v>
      </c>
      <c r="U143">
        <f t="shared" si="5"/>
        <v>336</v>
      </c>
      <c r="V143" s="15">
        <v>0.63500000000000001</v>
      </c>
      <c r="W143" s="15">
        <v>0.625</v>
      </c>
      <c r="BB143" s="20" t="str">
        <f>HYPERLINK("https://v360.in/diamondview.aspx?cid=preet&amp;d=HN-137-32","https://v360.in/diamondview.aspx?cid=preet&amp;d=HN-137-32")</f>
        <v>https://v360.in/diamondview.aspx?cid=preet&amp;d=HN-137-32</v>
      </c>
    </row>
    <row r="144" spans="1:54" ht="16" x14ac:dyDescent="0.2">
      <c r="A144" s="4" t="s">
        <v>204</v>
      </c>
      <c r="B144" s="7" t="s">
        <v>536</v>
      </c>
      <c r="C144" s="4" t="s">
        <v>554</v>
      </c>
      <c r="D144" s="8">
        <v>1.05</v>
      </c>
      <c r="E144" s="9" t="s">
        <v>546</v>
      </c>
      <c r="F144" s="4" t="s">
        <v>538</v>
      </c>
      <c r="G144" s="4" t="s">
        <v>539</v>
      </c>
      <c r="H144" s="4" t="s">
        <v>540</v>
      </c>
      <c r="I144" s="4" t="s">
        <v>540</v>
      </c>
      <c r="J144" s="4" t="s">
        <v>541</v>
      </c>
      <c r="L144" s="4" t="s">
        <v>708</v>
      </c>
      <c r="O144" s="4" t="s">
        <v>1040</v>
      </c>
      <c r="P144" s="4">
        <v>570376218</v>
      </c>
      <c r="R144" s="4">
        <v>6900</v>
      </c>
      <c r="S144">
        <f t="shared" si="4"/>
        <v>7245</v>
      </c>
      <c r="T144" s="7">
        <v>-96</v>
      </c>
      <c r="U144">
        <f t="shared" si="5"/>
        <v>289.8</v>
      </c>
      <c r="V144" s="15">
        <v>0.70399999999999996</v>
      </c>
      <c r="W144" s="16">
        <v>0.57999999999999996</v>
      </c>
      <c r="BB144" s="20" t="str">
        <f>HYPERLINK("https://v360.in/diamondview.aspx?cid=preet&amp;d=HN-142-44","https://v360.in/diamondview.aspx?cid=preet&amp;d=HN-142-44")</f>
        <v>https://v360.in/diamondview.aspx?cid=preet&amp;d=HN-142-44</v>
      </c>
    </row>
    <row r="145" spans="1:54" ht="16" x14ac:dyDescent="0.2">
      <c r="A145" s="4" t="s">
        <v>205</v>
      </c>
      <c r="B145" s="7" t="s">
        <v>536</v>
      </c>
      <c r="C145" s="4" t="s">
        <v>554</v>
      </c>
      <c r="D145" s="8">
        <v>1.04</v>
      </c>
      <c r="E145" s="9" t="s">
        <v>546</v>
      </c>
      <c r="F145" s="4" t="s">
        <v>538</v>
      </c>
      <c r="G145" s="4" t="s">
        <v>539</v>
      </c>
      <c r="H145" s="4" t="s">
        <v>540</v>
      </c>
      <c r="I145" s="4" t="s">
        <v>540</v>
      </c>
      <c r="J145" s="4" t="s">
        <v>541</v>
      </c>
      <c r="L145" s="4" t="s">
        <v>709</v>
      </c>
      <c r="O145" s="4" t="s">
        <v>1040</v>
      </c>
      <c r="P145" s="4">
        <v>569328553</v>
      </c>
      <c r="R145" s="4">
        <v>6900</v>
      </c>
      <c r="S145">
        <f t="shared" si="4"/>
        <v>7176</v>
      </c>
      <c r="T145" s="7">
        <v>-96</v>
      </c>
      <c r="U145">
        <f t="shared" si="5"/>
        <v>287.04000000000002</v>
      </c>
      <c r="V145" s="15">
        <v>0.68400000000000005</v>
      </c>
      <c r="W145" s="16">
        <v>0.7</v>
      </c>
      <c r="BB145" s="20" t="str">
        <f>HYPERLINK("https://v360.in/diamondview.aspx?cid=preet&amp;d=HN-137-30","https://v360.in/diamondview.aspx?cid=preet&amp;d=HN-137-30")</f>
        <v>https://v360.in/diamondview.aspx?cid=preet&amp;d=HN-137-30</v>
      </c>
    </row>
    <row r="146" spans="1:54" ht="16" x14ac:dyDescent="0.2">
      <c r="A146" s="4" t="s">
        <v>206</v>
      </c>
      <c r="B146" s="7" t="s">
        <v>536</v>
      </c>
      <c r="C146" s="4" t="s">
        <v>554</v>
      </c>
      <c r="D146" s="8">
        <v>1.04</v>
      </c>
      <c r="E146" s="9" t="s">
        <v>536</v>
      </c>
      <c r="F146" s="4" t="s">
        <v>547</v>
      </c>
      <c r="G146" s="4" t="s">
        <v>539</v>
      </c>
      <c r="H146" s="4" t="s">
        <v>540</v>
      </c>
      <c r="I146" s="4" t="s">
        <v>551</v>
      </c>
      <c r="J146" s="4" t="s">
        <v>541</v>
      </c>
      <c r="L146" s="4" t="s">
        <v>710</v>
      </c>
      <c r="O146" s="4" t="s">
        <v>1040</v>
      </c>
      <c r="P146" s="4">
        <v>570370829</v>
      </c>
      <c r="R146" s="4">
        <v>7300</v>
      </c>
      <c r="S146">
        <f t="shared" si="4"/>
        <v>7592</v>
      </c>
      <c r="T146" s="7">
        <v>-96</v>
      </c>
      <c r="U146">
        <f t="shared" si="5"/>
        <v>303.68</v>
      </c>
      <c r="V146" s="15">
        <v>0.66100000000000003</v>
      </c>
      <c r="W146" s="16">
        <v>0.7</v>
      </c>
      <c r="BB146" s="20" t="str">
        <f>HYPERLINK("https://v360.in/diamondview.aspx?cid=preet&amp;d=HN-147-25","https://v360.in/diamondview.aspx?cid=preet&amp;d=HN-147-25")</f>
        <v>https://v360.in/diamondview.aspx?cid=preet&amp;d=HN-147-25</v>
      </c>
    </row>
    <row r="147" spans="1:54" ht="16" x14ac:dyDescent="0.2">
      <c r="A147" s="4" t="s">
        <v>207</v>
      </c>
      <c r="B147" s="7" t="s">
        <v>536</v>
      </c>
      <c r="C147" s="4" t="s">
        <v>554</v>
      </c>
      <c r="D147" s="8">
        <v>1.04</v>
      </c>
      <c r="E147" s="9" t="s">
        <v>542</v>
      </c>
      <c r="F147" s="4" t="s">
        <v>538</v>
      </c>
      <c r="G147" s="4" t="s">
        <v>539</v>
      </c>
      <c r="H147" s="4" t="s">
        <v>540</v>
      </c>
      <c r="I147" s="4" t="s">
        <v>540</v>
      </c>
      <c r="J147" s="4" t="s">
        <v>541</v>
      </c>
      <c r="L147" s="4" t="s">
        <v>711</v>
      </c>
      <c r="O147" s="4" t="s">
        <v>1040</v>
      </c>
      <c r="P147" s="4">
        <v>553217221</v>
      </c>
      <c r="R147" s="4">
        <v>5700</v>
      </c>
      <c r="S147">
        <f t="shared" si="4"/>
        <v>5928</v>
      </c>
      <c r="T147" s="7">
        <v>-96</v>
      </c>
      <c r="U147">
        <f t="shared" si="5"/>
        <v>237.12</v>
      </c>
      <c r="V147" s="15">
        <v>0.68200000000000005</v>
      </c>
      <c r="W147" s="16">
        <v>0.68</v>
      </c>
      <c r="BB147" s="20" t="str">
        <f>HYPERLINK("https://v360.in/diamondview.aspx?cid=preet&amp;d=HN-127-38-A","https://v360.in/diamondview.aspx?cid=preet&amp;d=HN-127-38-A")</f>
        <v>https://v360.in/diamondview.aspx?cid=preet&amp;d=HN-127-38-A</v>
      </c>
    </row>
    <row r="148" spans="1:54" ht="16" x14ac:dyDescent="0.2">
      <c r="A148" s="4" t="s">
        <v>208</v>
      </c>
      <c r="B148" s="7" t="s">
        <v>536</v>
      </c>
      <c r="C148" s="4" t="s">
        <v>554</v>
      </c>
      <c r="D148" s="8">
        <v>1.03</v>
      </c>
      <c r="E148" s="9" t="s">
        <v>546</v>
      </c>
      <c r="F148" s="4" t="s">
        <v>538</v>
      </c>
      <c r="G148" s="4" t="s">
        <v>539</v>
      </c>
      <c r="H148" s="4" t="s">
        <v>540</v>
      </c>
      <c r="I148" s="4" t="s">
        <v>540</v>
      </c>
      <c r="J148" s="4" t="s">
        <v>541</v>
      </c>
      <c r="L148" s="4" t="s">
        <v>712</v>
      </c>
      <c r="O148" s="4" t="s">
        <v>1040</v>
      </c>
      <c r="P148" s="4">
        <v>564365282</v>
      </c>
      <c r="R148" s="4">
        <v>6900</v>
      </c>
      <c r="S148">
        <f t="shared" si="4"/>
        <v>7107</v>
      </c>
      <c r="T148" s="7">
        <v>-96</v>
      </c>
      <c r="U148">
        <f t="shared" si="5"/>
        <v>284.28000000000003</v>
      </c>
      <c r="V148" s="15">
        <v>0.68600000000000005</v>
      </c>
      <c r="W148" s="15">
        <v>0.625</v>
      </c>
      <c r="BB148" s="20" t="str">
        <f>HYPERLINK("https://v360.in/diamondview.aspx?cid=preet&amp;d=HN-134-81","https://v360.in/diamondview.aspx?cid=preet&amp;d=HN-134-81")</f>
        <v>https://v360.in/diamondview.aspx?cid=preet&amp;d=HN-134-81</v>
      </c>
    </row>
    <row r="149" spans="1:54" ht="16" x14ac:dyDescent="0.2">
      <c r="A149" s="4" t="s">
        <v>209</v>
      </c>
      <c r="B149" s="7" t="s">
        <v>536</v>
      </c>
      <c r="C149" s="4" t="s">
        <v>554</v>
      </c>
      <c r="D149" s="8">
        <v>1.03</v>
      </c>
      <c r="E149" s="9" t="s">
        <v>542</v>
      </c>
      <c r="F149" s="4" t="s">
        <v>547</v>
      </c>
      <c r="G149" s="4" t="s">
        <v>539</v>
      </c>
      <c r="H149" s="4" t="s">
        <v>540</v>
      </c>
      <c r="I149" s="4" t="s">
        <v>540</v>
      </c>
      <c r="J149" s="4" t="s">
        <v>541</v>
      </c>
      <c r="L149" s="4" t="s">
        <v>713</v>
      </c>
      <c r="O149" s="4" t="s">
        <v>1040</v>
      </c>
      <c r="P149" s="4">
        <v>567356385</v>
      </c>
      <c r="R149" s="4">
        <v>6300</v>
      </c>
      <c r="S149">
        <f t="shared" si="4"/>
        <v>6489</v>
      </c>
      <c r="T149" s="7">
        <v>-96</v>
      </c>
      <c r="U149">
        <f t="shared" si="5"/>
        <v>259.56</v>
      </c>
      <c r="V149" s="15">
        <v>0.66100000000000003</v>
      </c>
      <c r="W149" s="15">
        <v>0.66500000000000004</v>
      </c>
      <c r="BB149" s="20" t="str">
        <f>HYPERLINK("https://v360.in/diamondview.aspx?cid=preet&amp;d=HN-136-51","https://v360.in/diamondview.aspx?cid=preet&amp;d=HN-136-51")</f>
        <v>https://v360.in/diamondview.aspx?cid=preet&amp;d=HN-136-51</v>
      </c>
    </row>
    <row r="150" spans="1:54" ht="16" x14ac:dyDescent="0.2">
      <c r="A150" s="4" t="s">
        <v>210</v>
      </c>
      <c r="B150" s="7" t="s">
        <v>536</v>
      </c>
      <c r="C150" s="4" t="s">
        <v>554</v>
      </c>
      <c r="D150" s="8">
        <v>1.02</v>
      </c>
      <c r="E150" s="9" t="s">
        <v>546</v>
      </c>
      <c r="F150" s="4" t="s">
        <v>538</v>
      </c>
      <c r="G150" s="4" t="s">
        <v>539</v>
      </c>
      <c r="H150" s="4" t="s">
        <v>540</v>
      </c>
      <c r="I150" s="4" t="s">
        <v>540</v>
      </c>
      <c r="J150" s="4" t="s">
        <v>541</v>
      </c>
      <c r="L150" s="4" t="s">
        <v>714</v>
      </c>
      <c r="O150" s="4" t="s">
        <v>1040</v>
      </c>
      <c r="P150" s="4">
        <v>553259909</v>
      </c>
      <c r="R150" s="4">
        <v>6900</v>
      </c>
      <c r="S150">
        <f t="shared" si="4"/>
        <v>7038</v>
      </c>
      <c r="T150" s="7">
        <v>-96</v>
      </c>
      <c r="U150">
        <f t="shared" si="5"/>
        <v>281.52</v>
      </c>
      <c r="V150" s="15">
        <v>0.67400000000000004</v>
      </c>
      <c r="W150" s="16">
        <v>0.68</v>
      </c>
      <c r="BB150" s="20" t="str">
        <f>HYPERLINK("https://v360.in/diamondview.aspx?cid=preet&amp;d=HN-127-36-B","https://v360.in/diamondview.aspx?cid=preet&amp;d=HN-127-36-B")</f>
        <v>https://v360.in/diamondview.aspx?cid=preet&amp;d=HN-127-36-B</v>
      </c>
    </row>
    <row r="151" spans="1:54" ht="16" x14ac:dyDescent="0.2">
      <c r="A151" s="4" t="s">
        <v>211</v>
      </c>
      <c r="B151" s="7" t="s">
        <v>536</v>
      </c>
      <c r="C151" s="4" t="s">
        <v>554</v>
      </c>
      <c r="D151" s="8">
        <v>1.02</v>
      </c>
      <c r="E151" s="9" t="s">
        <v>536</v>
      </c>
      <c r="F151" s="4" t="s">
        <v>538</v>
      </c>
      <c r="G151" s="4" t="s">
        <v>539</v>
      </c>
      <c r="H151" s="4" t="s">
        <v>540</v>
      </c>
      <c r="I151" s="4" t="s">
        <v>540</v>
      </c>
      <c r="J151" s="4" t="s">
        <v>541</v>
      </c>
      <c r="L151" s="4" t="s">
        <v>715</v>
      </c>
      <c r="O151" s="4" t="s">
        <v>1040</v>
      </c>
      <c r="P151" s="4">
        <v>567356444</v>
      </c>
      <c r="R151" s="4">
        <v>6600</v>
      </c>
      <c r="S151">
        <f t="shared" si="4"/>
        <v>6732</v>
      </c>
      <c r="T151" s="7">
        <v>-96</v>
      </c>
      <c r="U151">
        <f t="shared" si="5"/>
        <v>269.28000000000003</v>
      </c>
      <c r="V151" s="15">
        <v>0.63800000000000001</v>
      </c>
      <c r="W151" s="16">
        <v>0.69</v>
      </c>
      <c r="BB151" s="20" t="str">
        <f>HYPERLINK("https://v360.in/diamondview.aspx?cid=preet&amp;d=HN-136-49","https://v360.in/diamondview.aspx?cid=preet&amp;d=HN-136-49")</f>
        <v>https://v360.in/diamondview.aspx?cid=preet&amp;d=HN-136-49</v>
      </c>
    </row>
    <row r="152" spans="1:54" ht="16" x14ac:dyDescent="0.2">
      <c r="A152" s="4" t="s">
        <v>212</v>
      </c>
      <c r="B152" s="7" t="s">
        <v>536</v>
      </c>
      <c r="C152" s="4" t="s">
        <v>554</v>
      </c>
      <c r="D152" s="8">
        <v>1.02</v>
      </c>
      <c r="E152" s="9" t="s">
        <v>542</v>
      </c>
      <c r="F152" s="4" t="s">
        <v>538</v>
      </c>
      <c r="G152" s="4" t="s">
        <v>539</v>
      </c>
      <c r="H152" s="4" t="s">
        <v>540</v>
      </c>
      <c r="I152" s="4" t="s">
        <v>540</v>
      </c>
      <c r="J152" s="4" t="s">
        <v>541</v>
      </c>
      <c r="L152" s="4" t="s">
        <v>716</v>
      </c>
      <c r="O152" s="4" t="s">
        <v>1040</v>
      </c>
      <c r="P152" s="4">
        <v>576332063</v>
      </c>
      <c r="R152" s="4">
        <v>5700</v>
      </c>
      <c r="S152">
        <f t="shared" si="4"/>
        <v>5814</v>
      </c>
      <c r="T152" s="7">
        <v>-96</v>
      </c>
      <c r="U152">
        <f t="shared" si="5"/>
        <v>232.56</v>
      </c>
      <c r="V152" s="15">
        <v>0.65900000000000003</v>
      </c>
      <c r="W152" s="16">
        <v>0.66</v>
      </c>
      <c r="BB152" s="20" t="str">
        <f>HYPERLINK("https://view.gem360.in/gem360/2004231209-HN-160-15/gem360-2004231209-HN-160-15.html","https://view.gem360.in/gem360/2004231209-HN-160-15/gem360-2004231209-HN-160-15.html")</f>
        <v>https://view.gem360.in/gem360/2004231209-HN-160-15/gem360-2004231209-HN-160-15.html</v>
      </c>
    </row>
    <row r="153" spans="1:54" ht="16" x14ac:dyDescent="0.2">
      <c r="A153" s="4" t="s">
        <v>213</v>
      </c>
      <c r="B153" s="7" t="s">
        <v>536</v>
      </c>
      <c r="C153" s="4" t="s">
        <v>554</v>
      </c>
      <c r="D153" s="8">
        <v>1.02</v>
      </c>
      <c r="E153" s="9" t="s">
        <v>542</v>
      </c>
      <c r="F153" s="4" t="s">
        <v>544</v>
      </c>
      <c r="G153" s="4" t="s">
        <v>539</v>
      </c>
      <c r="H153" s="4" t="s">
        <v>540</v>
      </c>
      <c r="I153" s="4" t="s">
        <v>540</v>
      </c>
      <c r="J153" s="4" t="s">
        <v>541</v>
      </c>
      <c r="L153" s="4" t="s">
        <v>717</v>
      </c>
      <c r="O153" s="4" t="s">
        <v>1040</v>
      </c>
      <c r="P153" s="4">
        <v>576332061</v>
      </c>
      <c r="R153" s="4">
        <v>6000</v>
      </c>
      <c r="S153">
        <f t="shared" si="4"/>
        <v>6120</v>
      </c>
      <c r="T153" s="7">
        <v>-96</v>
      </c>
      <c r="U153">
        <f t="shared" si="5"/>
        <v>244.8</v>
      </c>
      <c r="V153" s="15">
        <v>0.66500000000000004</v>
      </c>
      <c r="W153" s="15">
        <v>0.64500000000000002</v>
      </c>
      <c r="BB153" s="20" t="str">
        <f>HYPERLINK("https://view.gem360.in/gem360/2004231205-HN-160-13/gem360-2004231205-HN-160-13.html","https://view.gem360.in/gem360/2004231205-HN-160-13/gem360-2004231205-HN-160-13.html")</f>
        <v>https://view.gem360.in/gem360/2004231205-HN-160-13/gem360-2004231205-HN-160-13.html</v>
      </c>
    </row>
    <row r="154" spans="1:54" ht="16" x14ac:dyDescent="0.2">
      <c r="A154" s="4" t="s">
        <v>214</v>
      </c>
      <c r="B154" s="7" t="s">
        <v>536</v>
      </c>
      <c r="C154" s="4" t="s">
        <v>554</v>
      </c>
      <c r="D154" s="8">
        <v>1.01</v>
      </c>
      <c r="E154" s="9" t="s">
        <v>546</v>
      </c>
      <c r="F154" s="4" t="s">
        <v>538</v>
      </c>
      <c r="G154" s="4" t="s">
        <v>539</v>
      </c>
      <c r="H154" s="4" t="s">
        <v>540</v>
      </c>
      <c r="I154" s="4" t="s">
        <v>540</v>
      </c>
      <c r="J154" s="4" t="s">
        <v>541</v>
      </c>
      <c r="L154" s="4" t="s">
        <v>718</v>
      </c>
      <c r="O154" s="4" t="s">
        <v>1040</v>
      </c>
      <c r="P154" s="4">
        <v>567356443</v>
      </c>
      <c r="R154" s="4">
        <v>6900</v>
      </c>
      <c r="S154">
        <f t="shared" si="4"/>
        <v>6969</v>
      </c>
      <c r="T154" s="7">
        <v>-96</v>
      </c>
      <c r="U154">
        <f t="shared" si="5"/>
        <v>278.76</v>
      </c>
      <c r="V154" s="15">
        <v>0.65100000000000002</v>
      </c>
      <c r="W154" s="16">
        <v>0.67</v>
      </c>
      <c r="BB154" s="20" t="str">
        <f>HYPERLINK("https://v360.in/diamondview.aspx?cid=preet&amp;d=HN-136-47","https://v360.in/diamondview.aspx?cid=preet&amp;d=HN-136-47")</f>
        <v>https://v360.in/diamondview.aspx?cid=preet&amp;d=HN-136-47</v>
      </c>
    </row>
    <row r="155" spans="1:54" ht="16" x14ac:dyDescent="0.2">
      <c r="A155" s="4" t="s">
        <v>215</v>
      </c>
      <c r="B155" s="7" t="s">
        <v>536</v>
      </c>
      <c r="C155" s="4" t="s">
        <v>554</v>
      </c>
      <c r="D155" s="8">
        <v>1.01</v>
      </c>
      <c r="E155" s="9" t="s">
        <v>536</v>
      </c>
      <c r="F155" s="4" t="s">
        <v>538</v>
      </c>
      <c r="G155" s="4" t="s">
        <v>539</v>
      </c>
      <c r="H155" s="4" t="s">
        <v>540</v>
      </c>
      <c r="I155" s="4" t="s">
        <v>540</v>
      </c>
      <c r="J155" s="4" t="s">
        <v>541</v>
      </c>
      <c r="L155" s="4" t="s">
        <v>719</v>
      </c>
      <c r="O155" s="4" t="s">
        <v>1040</v>
      </c>
      <c r="P155" s="4">
        <v>570376188</v>
      </c>
      <c r="R155" s="4">
        <v>6600</v>
      </c>
      <c r="S155">
        <f t="shared" si="4"/>
        <v>6666</v>
      </c>
      <c r="T155" s="7">
        <v>-96</v>
      </c>
      <c r="U155">
        <f t="shared" si="5"/>
        <v>266.64</v>
      </c>
      <c r="V155" s="15">
        <v>0.63800000000000001</v>
      </c>
      <c r="W155" s="15">
        <v>0.65500000000000003</v>
      </c>
      <c r="BB155" s="20" t="str">
        <f>HYPERLINK("https://v360.in/diamondview.aspx?cid=preet&amp;d=HN-148-4","https://v360.in/diamondview.aspx?cid=preet&amp;d=HN-148-4")</f>
        <v>https://v360.in/diamondview.aspx?cid=preet&amp;d=HN-148-4</v>
      </c>
    </row>
    <row r="156" spans="1:54" ht="16" x14ac:dyDescent="0.2">
      <c r="A156" s="4" t="s">
        <v>216</v>
      </c>
      <c r="B156" s="7" t="s">
        <v>536</v>
      </c>
      <c r="C156" s="4" t="s">
        <v>554</v>
      </c>
      <c r="D156" s="8">
        <v>1.01</v>
      </c>
      <c r="E156" s="9" t="s">
        <v>555</v>
      </c>
      <c r="F156" s="4" t="s">
        <v>544</v>
      </c>
      <c r="G156" s="4" t="s">
        <v>539</v>
      </c>
      <c r="H156" s="4" t="s">
        <v>540</v>
      </c>
      <c r="I156" s="4" t="s">
        <v>540</v>
      </c>
      <c r="J156" s="4" t="s">
        <v>541</v>
      </c>
      <c r="L156" s="4" t="s">
        <v>720</v>
      </c>
      <c r="O156" s="4" t="s">
        <v>1040</v>
      </c>
      <c r="P156" s="4">
        <v>497182210</v>
      </c>
      <c r="R156" s="4">
        <v>5100</v>
      </c>
      <c r="S156">
        <f t="shared" si="4"/>
        <v>5151</v>
      </c>
      <c r="T156" s="7">
        <v>-96</v>
      </c>
      <c r="U156">
        <f t="shared" si="5"/>
        <v>206.04</v>
      </c>
      <c r="V156" s="15">
        <v>0.68600000000000005</v>
      </c>
      <c r="W156" s="4">
        <v>64</v>
      </c>
      <c r="BB156" s="20" t="str">
        <f>HYPERLINK("","")</f>
        <v/>
      </c>
    </row>
    <row r="157" spans="1:54" ht="16" x14ac:dyDescent="0.2">
      <c r="A157" s="4" t="s">
        <v>217</v>
      </c>
      <c r="B157" s="7" t="s">
        <v>536</v>
      </c>
      <c r="C157" s="4" t="s">
        <v>554</v>
      </c>
      <c r="D157" s="8">
        <v>1</v>
      </c>
      <c r="E157" s="9" t="s">
        <v>548</v>
      </c>
      <c r="F157" s="4" t="s">
        <v>538</v>
      </c>
      <c r="G157" s="4" t="s">
        <v>539</v>
      </c>
      <c r="H157" s="4" t="s">
        <v>540</v>
      </c>
      <c r="I157" s="4" t="s">
        <v>556</v>
      </c>
      <c r="J157" s="4" t="s">
        <v>541</v>
      </c>
      <c r="L157" s="4" t="s">
        <v>721</v>
      </c>
      <c r="O157" s="4" t="s">
        <v>1040</v>
      </c>
      <c r="P157" s="4">
        <v>550231425</v>
      </c>
      <c r="R157" s="4">
        <v>7200</v>
      </c>
      <c r="S157">
        <f t="shared" si="4"/>
        <v>7200</v>
      </c>
      <c r="T157" s="7">
        <v>-96</v>
      </c>
      <c r="U157">
        <f t="shared" si="5"/>
        <v>288</v>
      </c>
      <c r="V157" s="15">
        <v>0.66100000000000003</v>
      </c>
      <c r="W157" s="15">
        <v>0.71499999999999997</v>
      </c>
      <c r="BB157" s="20" t="str">
        <f>HYPERLINK("https://v360.in/diamondview.aspx?cid=preet&amp;d=HN-100-59","https://v360.in/diamondview.aspx?cid=preet&amp;d=HN-100-59")</f>
        <v>https://v360.in/diamondview.aspx?cid=preet&amp;d=HN-100-59</v>
      </c>
    </row>
    <row r="158" spans="1:54" ht="16" x14ac:dyDescent="0.2">
      <c r="A158" s="4" t="s">
        <v>218</v>
      </c>
      <c r="B158" s="7" t="s">
        <v>536</v>
      </c>
      <c r="C158" s="4" t="s">
        <v>554</v>
      </c>
      <c r="D158" s="8">
        <v>1</v>
      </c>
      <c r="E158" s="9" t="s">
        <v>546</v>
      </c>
      <c r="F158" s="4" t="s">
        <v>544</v>
      </c>
      <c r="G158" s="4" t="s">
        <v>539</v>
      </c>
      <c r="H158" s="4" t="s">
        <v>540</v>
      </c>
      <c r="I158" s="4" t="s">
        <v>540</v>
      </c>
      <c r="J158" s="4" t="s">
        <v>541</v>
      </c>
      <c r="L158" s="4" t="s">
        <v>722</v>
      </c>
      <c r="O158" s="4" t="s">
        <v>1040</v>
      </c>
      <c r="P158" s="4">
        <v>570376191</v>
      </c>
      <c r="R158" s="4">
        <v>7500</v>
      </c>
      <c r="S158">
        <f t="shared" si="4"/>
        <v>7500</v>
      </c>
      <c r="T158" s="7">
        <v>-96</v>
      </c>
      <c r="U158">
        <f t="shared" si="5"/>
        <v>300</v>
      </c>
      <c r="V158" s="15">
        <v>0.69299999999999995</v>
      </c>
      <c r="W158" s="15">
        <v>0.60499999999999998</v>
      </c>
      <c r="BB158" s="20" t="str">
        <f>HYPERLINK("https://v360.in/diamondview.aspx?cid=preet&amp;d=HN-148-10","https://v360.in/diamondview.aspx?cid=preet&amp;d=HN-148-10")</f>
        <v>https://v360.in/diamondview.aspx?cid=preet&amp;d=HN-148-10</v>
      </c>
    </row>
    <row r="159" spans="1:54" ht="16" x14ac:dyDescent="0.2">
      <c r="A159" s="4" t="s">
        <v>219</v>
      </c>
      <c r="B159" s="7" t="s">
        <v>536</v>
      </c>
      <c r="C159" s="4" t="s">
        <v>554</v>
      </c>
      <c r="D159" s="8">
        <v>1</v>
      </c>
      <c r="E159" s="9" t="s">
        <v>546</v>
      </c>
      <c r="F159" s="4" t="s">
        <v>549</v>
      </c>
      <c r="G159" s="4" t="s">
        <v>539</v>
      </c>
      <c r="H159" s="4" t="s">
        <v>540</v>
      </c>
      <c r="I159" s="4" t="s">
        <v>540</v>
      </c>
      <c r="J159" s="4" t="s">
        <v>541</v>
      </c>
      <c r="L159" s="4" t="s">
        <v>723</v>
      </c>
      <c r="O159" s="4" t="s">
        <v>1040</v>
      </c>
      <c r="P159" s="4">
        <v>528205267</v>
      </c>
      <c r="R159" s="4">
        <v>5300</v>
      </c>
      <c r="S159">
        <f t="shared" si="4"/>
        <v>5300</v>
      </c>
      <c r="T159" s="7">
        <v>-96</v>
      </c>
      <c r="U159">
        <f t="shared" si="5"/>
        <v>212</v>
      </c>
      <c r="V159" s="4">
        <v>66</v>
      </c>
      <c r="W159" s="4">
        <v>61</v>
      </c>
      <c r="BB159" s="20" t="str">
        <f>HYPERLINK("https://view.gem360.in/gem360/2005220608-HN44-18/gem360-2005220608-HN44-18.html","https://view.gem360.in/gem360/2005220608-HN44-18/gem360-2005220608-HN44-18.html")</f>
        <v>https://view.gem360.in/gem360/2005220608-HN44-18/gem360-2005220608-HN44-18.html</v>
      </c>
    </row>
    <row r="160" spans="1:54" ht="16" x14ac:dyDescent="0.2">
      <c r="A160" s="4" t="s">
        <v>220</v>
      </c>
      <c r="B160" s="7" t="s">
        <v>536</v>
      </c>
      <c r="C160" s="4" t="s">
        <v>554</v>
      </c>
      <c r="D160" s="8">
        <v>1</v>
      </c>
      <c r="E160" s="9" t="s">
        <v>536</v>
      </c>
      <c r="F160" s="4" t="s">
        <v>538</v>
      </c>
      <c r="G160" s="4" t="s">
        <v>539</v>
      </c>
      <c r="H160" s="4" t="s">
        <v>540</v>
      </c>
      <c r="I160" s="4" t="s">
        <v>540</v>
      </c>
      <c r="J160" s="4" t="s">
        <v>541</v>
      </c>
      <c r="L160" s="4" t="s">
        <v>724</v>
      </c>
      <c r="O160" s="4" t="s">
        <v>1040</v>
      </c>
      <c r="P160" s="4">
        <v>567356392</v>
      </c>
      <c r="R160" s="4">
        <v>6600</v>
      </c>
      <c r="S160">
        <f t="shared" si="4"/>
        <v>6600</v>
      </c>
      <c r="T160" s="7">
        <v>-96</v>
      </c>
      <c r="U160">
        <f t="shared" si="5"/>
        <v>264</v>
      </c>
      <c r="V160" s="15">
        <v>0.64300000000000002</v>
      </c>
      <c r="W160" s="15">
        <v>0.71499999999999997</v>
      </c>
      <c r="BB160" s="20" t="str">
        <f>HYPERLINK("https://v360.in/diamondview.aspx?cid=preet&amp;d=HN-136-50","https://v360.in/diamondview.aspx?cid=preet&amp;d=HN-136-50")</f>
        <v>https://v360.in/diamondview.aspx?cid=preet&amp;d=HN-136-50</v>
      </c>
    </row>
    <row r="161" spans="1:54" ht="16" x14ac:dyDescent="0.2">
      <c r="A161" s="4" t="s">
        <v>221</v>
      </c>
      <c r="B161" s="7" t="s">
        <v>536</v>
      </c>
      <c r="C161" s="4" t="s">
        <v>554</v>
      </c>
      <c r="D161" s="8">
        <v>1</v>
      </c>
      <c r="E161" s="9" t="s">
        <v>536</v>
      </c>
      <c r="F161" s="4" t="s">
        <v>538</v>
      </c>
      <c r="G161" s="4" t="s">
        <v>539</v>
      </c>
      <c r="H161" s="4" t="s">
        <v>540</v>
      </c>
      <c r="I161" s="4" t="s">
        <v>556</v>
      </c>
      <c r="J161" s="4" t="s">
        <v>541</v>
      </c>
      <c r="L161" s="4" t="s">
        <v>725</v>
      </c>
      <c r="O161" s="4" t="s">
        <v>1040</v>
      </c>
      <c r="P161" s="4">
        <v>566393805</v>
      </c>
      <c r="R161" s="4">
        <v>6600</v>
      </c>
      <c r="S161">
        <f t="shared" si="4"/>
        <v>6600</v>
      </c>
      <c r="T161" s="7">
        <v>-96</v>
      </c>
      <c r="U161">
        <f t="shared" si="5"/>
        <v>264</v>
      </c>
      <c r="V161" s="15">
        <v>0.67900000000000005</v>
      </c>
      <c r="W161" s="15">
        <v>0.67500000000000004</v>
      </c>
      <c r="BB161" s="20" t="str">
        <f>HYPERLINK("https://v360.in/diamondview.aspx?cid=preet&amp;d=HN-135-26","https://v360.in/diamondview.aspx?cid=preet&amp;d=HN-135-26")</f>
        <v>https://v360.in/diamondview.aspx?cid=preet&amp;d=HN-135-26</v>
      </c>
    </row>
    <row r="162" spans="1:54" ht="16" x14ac:dyDescent="0.2">
      <c r="A162" s="4" t="s">
        <v>222</v>
      </c>
      <c r="B162" s="7" t="s">
        <v>536</v>
      </c>
      <c r="C162" s="4" t="s">
        <v>554</v>
      </c>
      <c r="D162" s="8">
        <v>1</v>
      </c>
      <c r="E162" s="9" t="s">
        <v>536</v>
      </c>
      <c r="F162" s="4" t="s">
        <v>538</v>
      </c>
      <c r="G162" s="4" t="s">
        <v>539</v>
      </c>
      <c r="H162" s="4" t="s">
        <v>540</v>
      </c>
      <c r="I162" s="4" t="s">
        <v>540</v>
      </c>
      <c r="J162" s="4" t="s">
        <v>541</v>
      </c>
      <c r="L162" s="4" t="s">
        <v>726</v>
      </c>
      <c r="O162" s="4" t="s">
        <v>1040</v>
      </c>
      <c r="P162" s="4">
        <v>569328552</v>
      </c>
      <c r="R162" s="4">
        <v>6600</v>
      </c>
      <c r="S162">
        <f t="shared" si="4"/>
        <v>6600</v>
      </c>
      <c r="T162" s="7">
        <v>-96</v>
      </c>
      <c r="U162">
        <f t="shared" si="5"/>
        <v>264</v>
      </c>
      <c r="V162" s="15">
        <v>0.66100000000000003</v>
      </c>
      <c r="W162" s="15">
        <v>0.67500000000000004</v>
      </c>
      <c r="BB162" s="20" t="str">
        <f>HYPERLINK("https://v360.in/diamondview.aspx?cid=preet&amp;d=HN-137-29","https://v360.in/diamondview.aspx?cid=preet&amp;d=HN-137-29")</f>
        <v>https://v360.in/diamondview.aspx?cid=preet&amp;d=HN-137-29</v>
      </c>
    </row>
    <row r="163" spans="1:54" ht="16" x14ac:dyDescent="0.2">
      <c r="A163" s="4" t="s">
        <v>223</v>
      </c>
      <c r="B163" s="7" t="s">
        <v>536</v>
      </c>
      <c r="C163" s="4" t="s">
        <v>554</v>
      </c>
      <c r="D163" s="8">
        <v>0.91</v>
      </c>
      <c r="E163" s="9" t="s">
        <v>546</v>
      </c>
      <c r="F163" s="4" t="s">
        <v>544</v>
      </c>
      <c r="G163" s="4" t="s">
        <v>539</v>
      </c>
      <c r="H163" s="4" t="s">
        <v>540</v>
      </c>
      <c r="I163" s="4" t="s">
        <v>540</v>
      </c>
      <c r="J163" s="4" t="s">
        <v>541</v>
      </c>
      <c r="L163" s="4" t="s">
        <v>727</v>
      </c>
      <c r="O163" s="4" t="s">
        <v>1040</v>
      </c>
      <c r="P163" s="4">
        <v>561278550</v>
      </c>
      <c r="R163" s="4">
        <v>5500</v>
      </c>
      <c r="S163">
        <f t="shared" si="4"/>
        <v>5005</v>
      </c>
      <c r="T163" s="7">
        <v>-96</v>
      </c>
      <c r="U163">
        <f t="shared" si="5"/>
        <v>200.20000000000002</v>
      </c>
      <c r="V163" s="15">
        <v>0.69899999999999995</v>
      </c>
      <c r="W163" s="15">
        <v>0.54500000000000004</v>
      </c>
      <c r="BB163" s="20" t="str">
        <f>HYPERLINK("https://v360.in/diamondview.aspx?cid=preet&amp;d=HN-129-49","https://v360.in/diamondview.aspx?cid=preet&amp;d=HN-129-49")</f>
        <v>https://v360.in/diamondview.aspx?cid=preet&amp;d=HN-129-49</v>
      </c>
    </row>
    <row r="164" spans="1:54" ht="16" x14ac:dyDescent="0.2">
      <c r="A164" s="4" t="s">
        <v>224</v>
      </c>
      <c r="B164" s="7" t="s">
        <v>536</v>
      </c>
      <c r="C164" s="4" t="s">
        <v>554</v>
      </c>
      <c r="D164" s="8">
        <v>0.8</v>
      </c>
      <c r="E164" s="9" t="s">
        <v>536</v>
      </c>
      <c r="F164" s="4" t="s">
        <v>538</v>
      </c>
      <c r="G164" s="4" t="s">
        <v>539</v>
      </c>
      <c r="H164" s="4" t="s">
        <v>551</v>
      </c>
      <c r="I164" s="4" t="s">
        <v>551</v>
      </c>
      <c r="J164" s="4" t="s">
        <v>541</v>
      </c>
      <c r="L164" s="4" t="s">
        <v>728</v>
      </c>
      <c r="O164" s="4" t="s">
        <v>1040</v>
      </c>
      <c r="P164" s="4">
        <v>523298129</v>
      </c>
      <c r="R164" s="4">
        <v>3700</v>
      </c>
      <c r="S164">
        <f t="shared" si="4"/>
        <v>2960</v>
      </c>
      <c r="T164" s="7">
        <v>-96</v>
      </c>
      <c r="U164">
        <f t="shared" si="5"/>
        <v>118.4</v>
      </c>
      <c r="V164" s="15">
        <v>0.58899999999999997</v>
      </c>
      <c r="W164" s="4">
        <v>72</v>
      </c>
      <c r="BB164" s="20" t="str">
        <f>HYPERLINK("https://view.gem360.in/gem360/3004220515-HN43-59/gem360-3004220515-HN43-59.html","https://view.gem360.in/gem360/3004220515-HN43-59/gem360-3004220515-HN43-59.html")</f>
        <v>https://view.gem360.in/gem360/3004220515-HN43-59/gem360-3004220515-HN43-59.html</v>
      </c>
    </row>
    <row r="165" spans="1:54" ht="16" x14ac:dyDescent="0.2">
      <c r="A165" s="4" t="s">
        <v>225</v>
      </c>
      <c r="B165" s="7" t="s">
        <v>536</v>
      </c>
      <c r="C165" s="4" t="s">
        <v>557</v>
      </c>
      <c r="D165" s="8">
        <v>3.23</v>
      </c>
      <c r="E165" s="9" t="s">
        <v>546</v>
      </c>
      <c r="F165" s="4" t="s">
        <v>547</v>
      </c>
      <c r="G165" s="4" t="s">
        <v>539</v>
      </c>
      <c r="H165" s="4" t="s">
        <v>540</v>
      </c>
      <c r="I165" s="4" t="s">
        <v>540</v>
      </c>
      <c r="J165" s="4" t="s">
        <v>541</v>
      </c>
      <c r="L165" s="4" t="s">
        <v>729</v>
      </c>
      <c r="O165" s="4" t="s">
        <v>1040</v>
      </c>
      <c r="P165" s="4">
        <v>583334157</v>
      </c>
      <c r="R165" s="4">
        <v>28000</v>
      </c>
      <c r="S165">
        <f t="shared" si="4"/>
        <v>90440</v>
      </c>
      <c r="T165" s="7">
        <v>-96</v>
      </c>
      <c r="U165">
        <f t="shared" si="5"/>
        <v>3617.6</v>
      </c>
      <c r="V165" s="15">
        <v>0.67100000000000004</v>
      </c>
      <c r="W165" s="16">
        <v>0.69</v>
      </c>
      <c r="BB165" s="20" t="str">
        <f>HYPERLINK("https://view.gem360.in/gem360/0106230644-HN-723/gem360-0106230644-HN-723.html","https://view.gem360.in/gem360/0106230644-HN-723/gem360-0106230644-HN-723.html")</f>
        <v>https://view.gem360.in/gem360/0106230644-HN-723/gem360-0106230644-HN-723.html</v>
      </c>
    </row>
    <row r="166" spans="1:54" ht="16" x14ac:dyDescent="0.2">
      <c r="A166" s="4" t="s">
        <v>226</v>
      </c>
      <c r="B166" s="7" t="s">
        <v>536</v>
      </c>
      <c r="C166" s="4" t="s">
        <v>557</v>
      </c>
      <c r="D166" s="8">
        <v>2.61</v>
      </c>
      <c r="E166" s="9" t="s">
        <v>536</v>
      </c>
      <c r="F166" s="4" t="s">
        <v>538</v>
      </c>
      <c r="G166" s="4" t="s">
        <v>539</v>
      </c>
      <c r="H166" s="4" t="s">
        <v>540</v>
      </c>
      <c r="I166" s="4" t="s">
        <v>540</v>
      </c>
      <c r="J166" s="4" t="s">
        <v>541</v>
      </c>
      <c r="L166" s="4" t="s">
        <v>730</v>
      </c>
      <c r="O166" s="4" t="s">
        <v>1040</v>
      </c>
      <c r="P166" s="4">
        <v>553217186</v>
      </c>
      <c r="R166" s="4">
        <v>14500</v>
      </c>
      <c r="S166">
        <f t="shared" si="4"/>
        <v>37845</v>
      </c>
      <c r="T166" s="7">
        <v>-96</v>
      </c>
      <c r="U166">
        <f t="shared" si="5"/>
        <v>1513.8</v>
      </c>
      <c r="V166" s="15">
        <v>0.70499999999999996</v>
      </c>
      <c r="W166" s="16">
        <v>0.72</v>
      </c>
      <c r="BB166" s="20" t="str">
        <f>HYPERLINK("https://v360.in/diamondview.aspx?cid=preet&amp;d=HN-128-20","https://v360.in/diamondview.aspx?cid=preet&amp;d=HN-128-20")</f>
        <v>https://v360.in/diamondview.aspx?cid=preet&amp;d=HN-128-20</v>
      </c>
    </row>
    <row r="167" spans="1:54" ht="16" x14ac:dyDescent="0.2">
      <c r="A167" s="4" t="s">
        <v>227</v>
      </c>
      <c r="B167" s="7" t="s">
        <v>536</v>
      </c>
      <c r="C167" s="4" t="s">
        <v>557</v>
      </c>
      <c r="D167" s="8">
        <v>2.6</v>
      </c>
      <c r="E167" s="9" t="s">
        <v>542</v>
      </c>
      <c r="F167" s="4" t="s">
        <v>549</v>
      </c>
      <c r="G167" s="4" t="s">
        <v>539</v>
      </c>
      <c r="H167" s="4" t="s">
        <v>540</v>
      </c>
      <c r="I167" s="4" t="s">
        <v>540</v>
      </c>
      <c r="J167" s="4" t="s">
        <v>541</v>
      </c>
      <c r="L167" s="4" t="s">
        <v>731</v>
      </c>
      <c r="O167" s="4" t="s">
        <v>1040</v>
      </c>
      <c r="P167" s="4">
        <v>561259403</v>
      </c>
      <c r="R167" s="4">
        <v>10700</v>
      </c>
      <c r="S167">
        <f t="shared" si="4"/>
        <v>27820</v>
      </c>
      <c r="T167" s="7">
        <v>-96</v>
      </c>
      <c r="U167">
        <f t="shared" si="5"/>
        <v>1112.8</v>
      </c>
      <c r="V167" s="15">
        <v>0.65800000000000003</v>
      </c>
      <c r="W167" s="4">
        <v>76</v>
      </c>
      <c r="BB167" s="20" t="str">
        <f>HYPERLINK("https://v360.in/diamondview.aspx?cid=preet&amp;d=HN-129-21","https://v360.in/diamondview.aspx?cid=preet&amp;d=HN-129-21")</f>
        <v>https://v360.in/diamondview.aspx?cid=preet&amp;d=HN-129-21</v>
      </c>
    </row>
    <row r="168" spans="1:54" ht="16" x14ac:dyDescent="0.2">
      <c r="A168" s="4" t="s">
        <v>228</v>
      </c>
      <c r="B168" s="7" t="s">
        <v>536</v>
      </c>
      <c r="C168" s="4" t="s">
        <v>557</v>
      </c>
      <c r="D168" s="8">
        <v>2.5</v>
      </c>
      <c r="E168" s="9" t="s">
        <v>536</v>
      </c>
      <c r="F168" s="4" t="s">
        <v>538</v>
      </c>
      <c r="G168" s="4" t="s">
        <v>539</v>
      </c>
      <c r="H168" s="4" t="s">
        <v>540</v>
      </c>
      <c r="I168" s="4" t="s">
        <v>540</v>
      </c>
      <c r="J168" s="4" t="s">
        <v>541</v>
      </c>
      <c r="L168" s="4" t="s">
        <v>732</v>
      </c>
      <c r="O168" s="4" t="s">
        <v>1040</v>
      </c>
      <c r="P168" s="4">
        <v>583334119</v>
      </c>
      <c r="R168" s="4">
        <v>14500</v>
      </c>
      <c r="S168">
        <f t="shared" si="4"/>
        <v>36250</v>
      </c>
      <c r="T168" s="7">
        <v>-96</v>
      </c>
      <c r="U168">
        <f t="shared" si="5"/>
        <v>1450</v>
      </c>
      <c r="V168" s="15">
        <v>0.69199999999999995</v>
      </c>
      <c r="W168" s="16">
        <v>0.68</v>
      </c>
      <c r="BB168" s="20" t="str">
        <f>HYPERLINK("https://view.gem360.in/gem360/0706230521-HN-735/gem360-0706230521-HN-735.html","https://view.gem360.in/gem360/0706230521-HN-735/gem360-0706230521-HN-735.html")</f>
        <v>https://view.gem360.in/gem360/0706230521-HN-735/gem360-0706230521-HN-735.html</v>
      </c>
    </row>
    <row r="169" spans="1:54" ht="16" x14ac:dyDescent="0.2">
      <c r="A169" s="4" t="s">
        <v>229</v>
      </c>
      <c r="B169" s="7" t="s">
        <v>536</v>
      </c>
      <c r="C169" s="4" t="s">
        <v>557</v>
      </c>
      <c r="D169" s="8">
        <v>2.4</v>
      </c>
      <c r="E169" s="9" t="s">
        <v>536</v>
      </c>
      <c r="F169" s="4" t="s">
        <v>538</v>
      </c>
      <c r="G169" s="4" t="s">
        <v>539</v>
      </c>
      <c r="H169" s="4" t="s">
        <v>540</v>
      </c>
      <c r="I169" s="4" t="s">
        <v>540</v>
      </c>
      <c r="J169" s="4" t="s">
        <v>541</v>
      </c>
      <c r="L169" s="4" t="s">
        <v>733</v>
      </c>
      <c r="O169" s="4" t="s">
        <v>1040</v>
      </c>
      <c r="P169" s="4">
        <v>560231282</v>
      </c>
      <c r="R169" s="4">
        <v>14500</v>
      </c>
      <c r="S169">
        <f t="shared" si="4"/>
        <v>34800</v>
      </c>
      <c r="T169" s="7">
        <v>-96</v>
      </c>
      <c r="U169">
        <f t="shared" si="5"/>
        <v>1392</v>
      </c>
      <c r="V169" s="15">
        <v>0.71099999999999997</v>
      </c>
      <c r="W169" s="15">
        <v>0.64500000000000002</v>
      </c>
      <c r="BB169" s="20" t="str">
        <f>HYPERLINK("https://v360.in/diamondview.aspx?cid=preet&amp;d=HN-130-33","https://v360.in/diamondview.aspx?cid=preet&amp;d=HN-130-33")</f>
        <v>https://v360.in/diamondview.aspx?cid=preet&amp;d=HN-130-33</v>
      </c>
    </row>
    <row r="170" spans="1:54" ht="16" x14ac:dyDescent="0.2">
      <c r="A170" s="4" t="s">
        <v>230</v>
      </c>
      <c r="B170" s="7" t="s">
        <v>536</v>
      </c>
      <c r="C170" s="4" t="s">
        <v>557</v>
      </c>
      <c r="D170" s="8">
        <v>2.2599999999999998</v>
      </c>
      <c r="E170" s="9" t="s">
        <v>536</v>
      </c>
      <c r="F170" s="4" t="s">
        <v>544</v>
      </c>
      <c r="G170" s="4" t="s">
        <v>539</v>
      </c>
      <c r="H170" s="4" t="s">
        <v>540</v>
      </c>
      <c r="I170" s="4" t="s">
        <v>540</v>
      </c>
      <c r="J170" s="4" t="s">
        <v>541</v>
      </c>
      <c r="L170" s="4" t="s">
        <v>734</v>
      </c>
      <c r="O170" s="4" t="s">
        <v>1040</v>
      </c>
      <c r="P170" s="4">
        <v>575396039</v>
      </c>
      <c r="R170" s="4">
        <v>15500</v>
      </c>
      <c r="S170">
        <f t="shared" si="4"/>
        <v>35030</v>
      </c>
      <c r="T170" s="7">
        <v>-96</v>
      </c>
      <c r="U170">
        <f t="shared" si="5"/>
        <v>1401.1999999999998</v>
      </c>
      <c r="V170" s="15">
        <v>0.69899999999999995</v>
      </c>
      <c r="W170" s="4">
        <v>70</v>
      </c>
      <c r="BB170" s="20" t="str">
        <f>HYPERLINK("https://view.gem360.in/gem360/1304230555-HN-159-29/gem360-1304230555-HN-159-29.html","https://view.gem360.in/gem360/1304230555-HN-159-29/gem360-1304230555-HN-159-29.html")</f>
        <v>https://view.gem360.in/gem360/1304230555-HN-159-29/gem360-1304230555-HN-159-29.html</v>
      </c>
    </row>
    <row r="171" spans="1:54" ht="16" x14ac:dyDescent="0.2">
      <c r="A171" s="4" t="s">
        <v>231</v>
      </c>
      <c r="B171" s="7" t="s">
        <v>536</v>
      </c>
      <c r="C171" s="4" t="s">
        <v>557</v>
      </c>
      <c r="D171" s="8">
        <v>2.14</v>
      </c>
      <c r="E171" s="9" t="s">
        <v>536</v>
      </c>
      <c r="F171" s="4" t="s">
        <v>544</v>
      </c>
      <c r="G171" s="4" t="s">
        <v>539</v>
      </c>
      <c r="H171" s="4" t="s">
        <v>540</v>
      </c>
      <c r="I171" s="4" t="s">
        <v>540</v>
      </c>
      <c r="J171" s="4" t="s">
        <v>541</v>
      </c>
      <c r="L171" s="4" t="s">
        <v>735</v>
      </c>
      <c r="O171" s="4" t="s">
        <v>1040</v>
      </c>
      <c r="P171" s="4">
        <v>570376238</v>
      </c>
      <c r="R171" s="4">
        <v>15500</v>
      </c>
      <c r="S171">
        <f t="shared" si="4"/>
        <v>33170</v>
      </c>
      <c r="T171" s="7">
        <v>-96</v>
      </c>
      <c r="U171">
        <f t="shared" si="5"/>
        <v>1326.8000000000002</v>
      </c>
      <c r="V171" s="15">
        <v>0.69099999999999995</v>
      </c>
      <c r="W171" s="16">
        <v>0.73</v>
      </c>
      <c r="BB171" s="20" t="str">
        <f>HYPERLINK("https://view.gem360.in/gem360/0304230730-HN-142-32/gem360-0304230730-HN-142-32.html","https://view.gem360.in/gem360/0304230730-HN-142-32/gem360-0304230730-HN-142-32.html")</f>
        <v>https://view.gem360.in/gem360/0304230730-HN-142-32/gem360-0304230730-HN-142-32.html</v>
      </c>
    </row>
    <row r="172" spans="1:54" ht="16" x14ac:dyDescent="0.2">
      <c r="A172" s="4" t="s">
        <v>232</v>
      </c>
      <c r="B172" s="7" t="s">
        <v>536</v>
      </c>
      <c r="C172" s="4" t="s">
        <v>557</v>
      </c>
      <c r="D172" s="8">
        <v>2.13</v>
      </c>
      <c r="E172" s="9" t="s">
        <v>536</v>
      </c>
      <c r="F172" s="4" t="s">
        <v>538</v>
      </c>
      <c r="G172" s="4" t="s">
        <v>539</v>
      </c>
      <c r="H172" s="4" t="s">
        <v>540</v>
      </c>
      <c r="I172" s="4" t="s">
        <v>540</v>
      </c>
      <c r="J172" s="4" t="s">
        <v>541</v>
      </c>
      <c r="L172" s="4" t="s">
        <v>736</v>
      </c>
      <c r="O172" s="4" t="s">
        <v>1040</v>
      </c>
      <c r="P172" s="4">
        <v>551214620</v>
      </c>
      <c r="R172" s="4">
        <v>14500</v>
      </c>
      <c r="S172">
        <f t="shared" si="4"/>
        <v>30885</v>
      </c>
      <c r="T172" s="7">
        <v>-96</v>
      </c>
      <c r="U172">
        <f t="shared" si="5"/>
        <v>1235.3999999999999</v>
      </c>
      <c r="V172" s="15">
        <v>0.68899999999999995</v>
      </c>
      <c r="W172" s="15">
        <v>0.71499999999999997</v>
      </c>
      <c r="BB172" s="20" t="str">
        <f>HYPERLINK("https://v360.in/diamondview.aspx?cid=preet&amp;d=HN-127-5","https://v360.in/diamondview.aspx?cid=preet&amp;d=HN-127-5")</f>
        <v>https://v360.in/diamondview.aspx?cid=preet&amp;d=HN-127-5</v>
      </c>
    </row>
    <row r="173" spans="1:54" ht="16" x14ac:dyDescent="0.2">
      <c r="A173" s="4" t="s">
        <v>233</v>
      </c>
      <c r="B173" s="7" t="s">
        <v>536</v>
      </c>
      <c r="C173" s="4" t="s">
        <v>557</v>
      </c>
      <c r="D173" s="8">
        <v>2.12</v>
      </c>
      <c r="E173" s="9" t="s">
        <v>546</v>
      </c>
      <c r="F173" s="4" t="s">
        <v>549</v>
      </c>
      <c r="G173" s="4" t="s">
        <v>539</v>
      </c>
      <c r="H173" s="4" t="s">
        <v>540</v>
      </c>
      <c r="I173" s="4" t="s">
        <v>540</v>
      </c>
      <c r="J173" s="4" t="s">
        <v>541</v>
      </c>
      <c r="L173" s="4" t="s">
        <v>737</v>
      </c>
      <c r="O173" s="4" t="s">
        <v>1040</v>
      </c>
      <c r="P173" s="4">
        <v>559298573</v>
      </c>
      <c r="R173" s="4">
        <v>12700</v>
      </c>
      <c r="S173">
        <f t="shared" si="4"/>
        <v>26924</v>
      </c>
      <c r="T173" s="7">
        <v>-96</v>
      </c>
      <c r="U173">
        <f t="shared" si="5"/>
        <v>1076.96</v>
      </c>
      <c r="V173" s="15">
        <v>0.69899999999999995</v>
      </c>
      <c r="W173" s="15">
        <v>0.68500000000000005</v>
      </c>
      <c r="BB173" s="20" t="str">
        <f>HYPERLINK("https://v360.in/diamondview.aspx?cid=preet&amp;d=HN-129-27","https://v360.in/diamondview.aspx?cid=preet&amp;d=HN-129-27")</f>
        <v>https://v360.in/diamondview.aspx?cid=preet&amp;d=HN-129-27</v>
      </c>
    </row>
    <row r="174" spans="1:54" ht="16" x14ac:dyDescent="0.2">
      <c r="A174" s="4" t="s">
        <v>234</v>
      </c>
      <c r="B174" s="7" t="s">
        <v>536</v>
      </c>
      <c r="C174" s="4" t="s">
        <v>557</v>
      </c>
      <c r="D174" s="8">
        <v>2.06</v>
      </c>
      <c r="E174" s="9" t="s">
        <v>542</v>
      </c>
      <c r="F174" s="4" t="s">
        <v>544</v>
      </c>
      <c r="G174" s="4" t="s">
        <v>539</v>
      </c>
      <c r="H174" s="4" t="s">
        <v>540</v>
      </c>
      <c r="I174" s="4" t="s">
        <v>540</v>
      </c>
      <c r="J174" s="4" t="s">
        <v>541</v>
      </c>
      <c r="L174" s="4" t="s">
        <v>738</v>
      </c>
      <c r="O174" s="4" t="s">
        <v>1040</v>
      </c>
      <c r="P174" s="4">
        <v>522253995</v>
      </c>
      <c r="R174" s="4">
        <v>13000</v>
      </c>
      <c r="S174">
        <f t="shared" si="4"/>
        <v>26780</v>
      </c>
      <c r="T174" s="7">
        <v>-96</v>
      </c>
      <c r="U174">
        <f t="shared" si="5"/>
        <v>1071.2</v>
      </c>
      <c r="V174" s="4">
        <v>66</v>
      </c>
      <c r="W174" s="4">
        <v>69</v>
      </c>
      <c r="BB174" s="20" t="str">
        <f>HYPERLINK("https://view.gem360.in/gem360/1504220536-HN52-24/gem360-1504220536-HN52-24.html","https://view.gem360.in/gem360/1504220536-HN52-24/gem360-1504220536-HN52-24.html")</f>
        <v>https://view.gem360.in/gem360/1504220536-HN52-24/gem360-1504220536-HN52-24.html</v>
      </c>
    </row>
    <row r="175" spans="1:54" ht="16" x14ac:dyDescent="0.2">
      <c r="A175" s="4" t="s">
        <v>235</v>
      </c>
      <c r="B175" s="7" t="s">
        <v>536</v>
      </c>
      <c r="C175" s="4" t="s">
        <v>557</v>
      </c>
      <c r="D175" s="8">
        <v>2.0299999999999998</v>
      </c>
      <c r="E175" s="9" t="s">
        <v>542</v>
      </c>
      <c r="F175" s="4" t="s">
        <v>547</v>
      </c>
      <c r="G175" s="4" t="s">
        <v>539</v>
      </c>
      <c r="H175" s="4" t="s">
        <v>540</v>
      </c>
      <c r="I175" s="4" t="s">
        <v>540</v>
      </c>
      <c r="J175" s="4" t="s">
        <v>541</v>
      </c>
      <c r="L175" s="4" t="s">
        <v>739</v>
      </c>
      <c r="O175" s="4" t="s">
        <v>1040</v>
      </c>
      <c r="P175" s="4">
        <v>571301033</v>
      </c>
      <c r="R175" s="4">
        <v>13500</v>
      </c>
      <c r="S175">
        <f t="shared" si="4"/>
        <v>27404.999999999996</v>
      </c>
      <c r="T175" s="7">
        <v>-96</v>
      </c>
      <c r="U175">
        <f t="shared" si="5"/>
        <v>1096.1999999999998</v>
      </c>
      <c r="V175" s="15">
        <v>0.73699999999999999</v>
      </c>
      <c r="W175" s="16">
        <v>0.71</v>
      </c>
      <c r="BB175" s="20" t="str">
        <f>HYPERLINK("https://v360.in/diamondview.aspx?cid=preet&amp;d=HN-141-25","https://v360.in/diamondview.aspx?cid=preet&amp;d=HN-141-25")</f>
        <v>https://v360.in/diamondview.aspx?cid=preet&amp;d=HN-141-25</v>
      </c>
    </row>
    <row r="176" spans="1:54" ht="16" x14ac:dyDescent="0.2">
      <c r="A176" s="4" t="s">
        <v>236</v>
      </c>
      <c r="B176" s="7" t="s">
        <v>536</v>
      </c>
      <c r="C176" s="4" t="s">
        <v>557</v>
      </c>
      <c r="D176" s="8">
        <v>2</v>
      </c>
      <c r="E176" s="9" t="s">
        <v>546</v>
      </c>
      <c r="F176" s="4" t="s">
        <v>544</v>
      </c>
      <c r="G176" s="4" t="s">
        <v>539</v>
      </c>
      <c r="H176" s="4" t="s">
        <v>540</v>
      </c>
      <c r="I176" s="4" t="s">
        <v>540</v>
      </c>
      <c r="J176" s="4" t="s">
        <v>541</v>
      </c>
      <c r="L176" s="4" t="s">
        <v>740</v>
      </c>
      <c r="O176" s="4" t="s">
        <v>1040</v>
      </c>
      <c r="P176" s="4">
        <v>583334146</v>
      </c>
      <c r="R176" s="4">
        <v>17000</v>
      </c>
      <c r="S176">
        <f t="shared" si="4"/>
        <v>34000</v>
      </c>
      <c r="T176" s="7">
        <v>-96</v>
      </c>
      <c r="U176">
        <f t="shared" si="5"/>
        <v>1360</v>
      </c>
      <c r="V176" s="15">
        <v>0.65400000000000003</v>
      </c>
      <c r="W176" s="16">
        <v>0.7</v>
      </c>
      <c r="BB176" s="20" t="str">
        <f>HYPERLINK("https://view.gem360.in/gem360/0106230648-HN-711/gem360-0106230648-HN-711.html","https://view.gem360.in/gem360/0106230648-HN-711/gem360-0106230648-HN-711.html")</f>
        <v>https://view.gem360.in/gem360/0106230648-HN-711/gem360-0106230648-HN-711.html</v>
      </c>
    </row>
    <row r="177" spans="1:54" ht="16" x14ac:dyDescent="0.2">
      <c r="A177" s="4" t="s">
        <v>237</v>
      </c>
      <c r="B177" s="7" t="s">
        <v>536</v>
      </c>
      <c r="C177" s="4" t="s">
        <v>557</v>
      </c>
      <c r="D177" s="8">
        <v>1.66</v>
      </c>
      <c r="E177" s="9" t="s">
        <v>546</v>
      </c>
      <c r="F177" s="4" t="s">
        <v>538</v>
      </c>
      <c r="G177" s="4" t="s">
        <v>539</v>
      </c>
      <c r="H177" s="4" t="s">
        <v>540</v>
      </c>
      <c r="I177" s="4" t="s">
        <v>540</v>
      </c>
      <c r="J177" s="4" t="s">
        <v>541</v>
      </c>
      <c r="L177" s="4" t="s">
        <v>741</v>
      </c>
      <c r="O177" s="4" t="s">
        <v>1040</v>
      </c>
      <c r="P177" s="4">
        <v>553259835</v>
      </c>
      <c r="R177" s="4">
        <v>10900</v>
      </c>
      <c r="S177">
        <f t="shared" si="4"/>
        <v>18094</v>
      </c>
      <c r="T177" s="7">
        <v>-96</v>
      </c>
      <c r="U177">
        <f t="shared" si="5"/>
        <v>723.76</v>
      </c>
      <c r="V177" s="15">
        <v>0.71099999999999997</v>
      </c>
      <c r="W177" s="15">
        <v>0.69499999999999995</v>
      </c>
      <c r="BB177" s="20" t="str">
        <f>HYPERLINK("https://v360.in/diamondview.aspx?cid=preet&amp;d=HN-128-06","https://v360.in/diamondview.aspx?cid=preet&amp;d=HN-128-06")</f>
        <v>https://v360.in/diamondview.aspx?cid=preet&amp;d=HN-128-06</v>
      </c>
    </row>
    <row r="178" spans="1:54" ht="16" x14ac:dyDescent="0.2">
      <c r="A178" s="4" t="s">
        <v>238</v>
      </c>
      <c r="B178" s="7" t="s">
        <v>536</v>
      </c>
      <c r="C178" s="4" t="s">
        <v>557</v>
      </c>
      <c r="D178" s="8">
        <v>1.65</v>
      </c>
      <c r="E178" s="9" t="s">
        <v>546</v>
      </c>
      <c r="F178" s="4" t="s">
        <v>544</v>
      </c>
      <c r="G178" s="4" t="s">
        <v>539</v>
      </c>
      <c r="H178" s="4" t="s">
        <v>540</v>
      </c>
      <c r="I178" s="4" t="s">
        <v>540</v>
      </c>
      <c r="J178" s="4" t="s">
        <v>541</v>
      </c>
      <c r="L178" s="4" t="s">
        <v>742</v>
      </c>
      <c r="O178" s="4" t="s">
        <v>1040</v>
      </c>
      <c r="P178" s="4">
        <v>553217225</v>
      </c>
      <c r="R178" s="4">
        <v>12200</v>
      </c>
      <c r="S178">
        <f t="shared" si="4"/>
        <v>20130</v>
      </c>
      <c r="T178" s="7">
        <v>-96</v>
      </c>
      <c r="U178">
        <f t="shared" si="5"/>
        <v>805.19999999999993</v>
      </c>
      <c r="V178" s="15">
        <v>0.67600000000000005</v>
      </c>
      <c r="W178" s="15">
        <v>0.76500000000000001</v>
      </c>
      <c r="BB178" s="20" t="str">
        <f>HYPERLINK("https://v360.in/diamondview.aspx?cid=preet&amp;d=HN-127-46","https://v360.in/diamondview.aspx?cid=preet&amp;d=HN-127-46")</f>
        <v>https://v360.in/diamondview.aspx?cid=preet&amp;d=HN-127-46</v>
      </c>
    </row>
    <row r="179" spans="1:54" ht="16" x14ac:dyDescent="0.2">
      <c r="A179" s="4" t="s">
        <v>239</v>
      </c>
      <c r="B179" s="7" t="s">
        <v>536</v>
      </c>
      <c r="C179" s="4" t="s">
        <v>557</v>
      </c>
      <c r="D179" s="8">
        <v>1.6</v>
      </c>
      <c r="E179" s="9" t="s">
        <v>546</v>
      </c>
      <c r="F179" s="4" t="s">
        <v>544</v>
      </c>
      <c r="G179" s="4" t="s">
        <v>539</v>
      </c>
      <c r="H179" s="4" t="s">
        <v>540</v>
      </c>
      <c r="I179" s="4" t="s">
        <v>540</v>
      </c>
      <c r="J179" s="4" t="s">
        <v>541</v>
      </c>
      <c r="L179" s="4" t="s">
        <v>743</v>
      </c>
      <c r="O179" s="4" t="s">
        <v>1040</v>
      </c>
      <c r="P179" s="4">
        <v>578316892</v>
      </c>
      <c r="R179" s="4">
        <v>12200</v>
      </c>
      <c r="S179">
        <f t="shared" si="4"/>
        <v>19520</v>
      </c>
      <c r="T179" s="7">
        <v>-96</v>
      </c>
      <c r="U179">
        <f t="shared" si="5"/>
        <v>780.80000000000007</v>
      </c>
      <c r="V179" s="15">
        <v>0.71799999999999997</v>
      </c>
      <c r="W179" s="16">
        <v>0.75</v>
      </c>
      <c r="BB179" s="20" t="str">
        <f>HYPERLINK("https://view.gem360.in/gem360/2005230537-HN-1621/gem360-2005230537-HN-1621.html","https://view.gem360.in/gem360/2005230537-HN-1621/gem360-2005230537-HN-1621.html")</f>
        <v>https://view.gem360.in/gem360/2005230537-HN-1621/gem360-2005230537-HN-1621.html</v>
      </c>
    </row>
    <row r="180" spans="1:54" ht="16" x14ac:dyDescent="0.2">
      <c r="A180" s="4" t="s">
        <v>240</v>
      </c>
      <c r="B180" s="7" t="s">
        <v>536</v>
      </c>
      <c r="C180" s="4" t="s">
        <v>557</v>
      </c>
      <c r="D180" s="8">
        <v>1.58</v>
      </c>
      <c r="E180" s="9" t="s">
        <v>546</v>
      </c>
      <c r="F180" s="4" t="s">
        <v>547</v>
      </c>
      <c r="G180" s="4" t="s">
        <v>539</v>
      </c>
      <c r="H180" s="4" t="s">
        <v>540</v>
      </c>
      <c r="I180" s="4" t="s">
        <v>540</v>
      </c>
      <c r="J180" s="4" t="s">
        <v>541</v>
      </c>
      <c r="L180" s="4" t="s">
        <v>744</v>
      </c>
      <c r="O180" s="4" t="s">
        <v>1040</v>
      </c>
      <c r="P180" s="4">
        <v>587308056</v>
      </c>
      <c r="R180" s="4">
        <v>12700</v>
      </c>
      <c r="S180">
        <f t="shared" si="4"/>
        <v>20066</v>
      </c>
      <c r="T180" s="7">
        <v>-96</v>
      </c>
      <c r="U180">
        <f t="shared" si="5"/>
        <v>802.64</v>
      </c>
      <c r="V180" s="15">
        <v>0.71899999999999997</v>
      </c>
      <c r="W180" s="16">
        <v>0.71</v>
      </c>
      <c r="BB180" s="20" t="str">
        <f>HYPERLINK("https://view.gem360.in/gem360/2906230810-HN-773/gem360-2906230810-HN-773.html","https://view.gem360.in/gem360/2906230810-HN-773/gem360-2906230810-HN-773.html")</f>
        <v>https://view.gem360.in/gem360/2906230810-HN-773/gem360-2906230810-HN-773.html</v>
      </c>
    </row>
    <row r="181" spans="1:54" ht="16" x14ac:dyDescent="0.2">
      <c r="A181" s="4" t="s">
        <v>241</v>
      </c>
      <c r="B181" s="7" t="s">
        <v>536</v>
      </c>
      <c r="C181" s="4" t="s">
        <v>557</v>
      </c>
      <c r="D181" s="8">
        <v>1.54</v>
      </c>
      <c r="E181" s="9" t="s">
        <v>542</v>
      </c>
      <c r="F181" s="4" t="s">
        <v>544</v>
      </c>
      <c r="G181" s="4" t="s">
        <v>539</v>
      </c>
      <c r="H181" s="4" t="s">
        <v>540</v>
      </c>
      <c r="I181" s="4" t="s">
        <v>540</v>
      </c>
      <c r="J181" s="4" t="s">
        <v>541</v>
      </c>
      <c r="L181" s="4" t="s">
        <v>745</v>
      </c>
      <c r="O181" s="4" t="s">
        <v>1040</v>
      </c>
      <c r="P181" s="4">
        <v>571301032</v>
      </c>
      <c r="R181" s="4">
        <v>9500</v>
      </c>
      <c r="S181">
        <f t="shared" si="4"/>
        <v>14630</v>
      </c>
      <c r="T181" s="7">
        <v>-96</v>
      </c>
      <c r="U181">
        <f t="shared" si="5"/>
        <v>585.20000000000005</v>
      </c>
      <c r="V181" s="15">
        <v>0.68300000000000005</v>
      </c>
      <c r="W181" s="16">
        <v>0.72</v>
      </c>
      <c r="BB181" s="20" t="str">
        <f>HYPERLINK("https://v360.in/diamondview.aspx?cid=preet&amp;d=HN-141-24","https://v360.in/diamondview.aspx?cid=preet&amp;d=HN-141-24")</f>
        <v>https://v360.in/diamondview.aspx?cid=preet&amp;d=HN-141-24</v>
      </c>
    </row>
    <row r="182" spans="1:54" ht="16" x14ac:dyDescent="0.2">
      <c r="A182" s="4" t="s">
        <v>242</v>
      </c>
      <c r="B182" s="7" t="s">
        <v>536</v>
      </c>
      <c r="C182" s="4" t="s">
        <v>557</v>
      </c>
      <c r="D182" s="8">
        <v>1.53</v>
      </c>
      <c r="E182" s="9" t="s">
        <v>546</v>
      </c>
      <c r="F182" s="4" t="s">
        <v>547</v>
      </c>
      <c r="G182" s="4" t="s">
        <v>539</v>
      </c>
      <c r="H182" s="4" t="s">
        <v>540</v>
      </c>
      <c r="I182" s="4" t="s">
        <v>540</v>
      </c>
      <c r="J182" s="4" t="s">
        <v>541</v>
      </c>
      <c r="L182" s="4" t="s">
        <v>746</v>
      </c>
      <c r="O182" s="4" t="s">
        <v>1040</v>
      </c>
      <c r="P182" s="4">
        <v>588373430</v>
      </c>
      <c r="R182" s="4">
        <v>12700</v>
      </c>
      <c r="S182">
        <f t="shared" si="4"/>
        <v>19431</v>
      </c>
      <c r="T182" s="7">
        <v>-96</v>
      </c>
      <c r="U182">
        <f t="shared" si="5"/>
        <v>777.24</v>
      </c>
      <c r="V182" s="16">
        <v>0.7</v>
      </c>
      <c r="W182" s="16">
        <v>0.7</v>
      </c>
      <c r="BB182" s="20" t="str">
        <f>HYPERLINK("https://view.gem360.in/gem360/0707230821-HN-793/gem360-0707230821-HN-793.html","https://view.gem360.in/gem360/0707230821-HN-793/gem360-0707230821-HN-793.html")</f>
        <v>https://view.gem360.in/gem360/0707230821-HN-793/gem360-0707230821-HN-793.html</v>
      </c>
    </row>
    <row r="183" spans="1:54" ht="16" x14ac:dyDescent="0.2">
      <c r="A183" s="4" t="s">
        <v>243</v>
      </c>
      <c r="B183" s="7" t="s">
        <v>536</v>
      </c>
      <c r="C183" s="4" t="s">
        <v>557</v>
      </c>
      <c r="D183" s="8">
        <v>1.53</v>
      </c>
      <c r="E183" s="9" t="s">
        <v>546</v>
      </c>
      <c r="F183" s="4" t="s">
        <v>549</v>
      </c>
      <c r="G183" s="4" t="s">
        <v>539</v>
      </c>
      <c r="H183" s="4" t="s">
        <v>540</v>
      </c>
      <c r="I183" s="4" t="s">
        <v>540</v>
      </c>
      <c r="J183" s="4" t="s">
        <v>541</v>
      </c>
      <c r="L183" s="4" t="s">
        <v>747</v>
      </c>
      <c r="O183" s="4" t="s">
        <v>1040</v>
      </c>
      <c r="P183" s="4">
        <v>553219375</v>
      </c>
      <c r="R183" s="4">
        <v>9300</v>
      </c>
      <c r="S183">
        <f t="shared" si="4"/>
        <v>14229</v>
      </c>
      <c r="T183" s="7">
        <v>-96</v>
      </c>
      <c r="U183">
        <f t="shared" si="5"/>
        <v>569.16</v>
      </c>
      <c r="V183" s="15">
        <v>0.67100000000000004</v>
      </c>
      <c r="W183" s="16">
        <v>0.67</v>
      </c>
      <c r="BB183" s="20" t="str">
        <f>HYPERLINK("https://v360.in/diamondview.aspx?cid=preet&amp;d=HN-127-19","https://v360.in/diamondview.aspx?cid=preet&amp;d=HN-127-19")</f>
        <v>https://v360.in/diamondview.aspx?cid=preet&amp;d=HN-127-19</v>
      </c>
    </row>
    <row r="184" spans="1:54" ht="16" x14ac:dyDescent="0.2">
      <c r="A184" s="4" t="s">
        <v>244</v>
      </c>
      <c r="B184" s="7" t="s">
        <v>536</v>
      </c>
      <c r="C184" s="4" t="s">
        <v>557</v>
      </c>
      <c r="D184" s="8">
        <v>1.51</v>
      </c>
      <c r="E184" s="9" t="s">
        <v>546</v>
      </c>
      <c r="F184" s="4" t="s">
        <v>549</v>
      </c>
      <c r="G184" s="4" t="s">
        <v>539</v>
      </c>
      <c r="H184" s="4" t="s">
        <v>540</v>
      </c>
      <c r="I184" s="4" t="s">
        <v>540</v>
      </c>
      <c r="J184" s="4" t="s">
        <v>541</v>
      </c>
      <c r="L184" s="4" t="s">
        <v>748</v>
      </c>
      <c r="O184" s="4" t="s">
        <v>1040</v>
      </c>
      <c r="P184" s="4">
        <v>553217184</v>
      </c>
      <c r="R184" s="4">
        <v>9300</v>
      </c>
      <c r="S184">
        <f t="shared" si="4"/>
        <v>14043</v>
      </c>
      <c r="T184" s="7">
        <v>-96</v>
      </c>
      <c r="U184">
        <f t="shared" si="5"/>
        <v>561.72</v>
      </c>
      <c r="V184" s="15">
        <v>0.71899999999999997</v>
      </c>
      <c r="W184" s="15">
        <v>0.66500000000000004</v>
      </c>
      <c r="BB184" s="20" t="str">
        <f>HYPERLINK("https://v360.in/diamondview.aspx?cid=preet&amp;d=HN-128-30","https://v360.in/diamondview.aspx?cid=preet&amp;d=HN-128-30")</f>
        <v>https://v360.in/diamondview.aspx?cid=preet&amp;d=HN-128-30</v>
      </c>
    </row>
    <row r="185" spans="1:54" ht="16" x14ac:dyDescent="0.2">
      <c r="A185" s="4" t="s">
        <v>245</v>
      </c>
      <c r="B185" s="7" t="s">
        <v>536</v>
      </c>
      <c r="C185" s="4" t="s">
        <v>557</v>
      </c>
      <c r="D185" s="8">
        <v>1.51</v>
      </c>
      <c r="E185" s="9" t="s">
        <v>546</v>
      </c>
      <c r="F185" s="4" t="s">
        <v>549</v>
      </c>
      <c r="G185" s="4" t="s">
        <v>539</v>
      </c>
      <c r="H185" s="4" t="s">
        <v>540</v>
      </c>
      <c r="I185" s="4" t="s">
        <v>540</v>
      </c>
      <c r="J185" s="4" t="s">
        <v>541</v>
      </c>
      <c r="L185" s="4" t="s">
        <v>749</v>
      </c>
      <c r="O185" s="4" t="s">
        <v>1040</v>
      </c>
      <c r="P185" s="4">
        <v>561259408</v>
      </c>
      <c r="R185" s="4">
        <v>9300</v>
      </c>
      <c r="S185">
        <f t="shared" si="4"/>
        <v>14043</v>
      </c>
      <c r="T185" s="7">
        <v>-96</v>
      </c>
      <c r="U185">
        <f t="shared" si="5"/>
        <v>561.72</v>
      </c>
      <c r="V185" s="15">
        <v>0.69899999999999995</v>
      </c>
      <c r="W185" s="4">
        <v>68</v>
      </c>
      <c r="BB185" s="20" t="str">
        <f>HYPERLINK("https://v360.in/diamondview.aspx?cid=preet&amp;d=HN-130-5","https://v360.in/diamondview.aspx?cid=preet&amp;d=HN-130-5")</f>
        <v>https://v360.in/diamondview.aspx?cid=preet&amp;d=HN-130-5</v>
      </c>
    </row>
    <row r="186" spans="1:54" ht="16" x14ac:dyDescent="0.2">
      <c r="A186" s="4" t="s">
        <v>246</v>
      </c>
      <c r="B186" s="7" t="s">
        <v>536</v>
      </c>
      <c r="C186" s="4" t="s">
        <v>557</v>
      </c>
      <c r="D186" s="8">
        <v>1.42</v>
      </c>
      <c r="E186" s="9" t="s">
        <v>548</v>
      </c>
      <c r="F186" s="4" t="s">
        <v>538</v>
      </c>
      <c r="G186" s="4" t="s">
        <v>539</v>
      </c>
      <c r="H186" s="4" t="s">
        <v>540</v>
      </c>
      <c r="I186" s="4" t="s">
        <v>540</v>
      </c>
      <c r="J186" s="4" t="s">
        <v>541</v>
      </c>
      <c r="L186" s="4" t="s">
        <v>750</v>
      </c>
      <c r="O186" s="4" t="s">
        <v>1040</v>
      </c>
      <c r="P186" s="4">
        <v>559298586</v>
      </c>
      <c r="R186" s="4">
        <v>7200</v>
      </c>
      <c r="S186">
        <f t="shared" si="4"/>
        <v>10224</v>
      </c>
      <c r="T186" s="7">
        <v>-96</v>
      </c>
      <c r="U186">
        <f t="shared" si="5"/>
        <v>408.96</v>
      </c>
      <c r="V186" s="15">
        <v>0.67500000000000004</v>
      </c>
      <c r="W186" s="4">
        <v>67</v>
      </c>
      <c r="BB186" s="20" t="str">
        <f>HYPERLINK("https://v360.in/diamondview.aspx?cid=preet&amp;d=HN-129-8","https://v360.in/diamondview.aspx?cid=preet&amp;d=HN-129-8")</f>
        <v>https://v360.in/diamondview.aspx?cid=preet&amp;d=HN-129-8</v>
      </c>
    </row>
    <row r="187" spans="1:54" ht="16" x14ac:dyDescent="0.2">
      <c r="A187" s="4" t="s">
        <v>247</v>
      </c>
      <c r="B187" s="7" t="s">
        <v>536</v>
      </c>
      <c r="C187" s="4" t="s">
        <v>557</v>
      </c>
      <c r="D187" s="8">
        <v>1.42</v>
      </c>
      <c r="E187" s="9" t="s">
        <v>546</v>
      </c>
      <c r="F187" s="4" t="s">
        <v>538</v>
      </c>
      <c r="G187" s="4" t="s">
        <v>539</v>
      </c>
      <c r="H187" s="4" t="s">
        <v>540</v>
      </c>
      <c r="I187" s="4" t="s">
        <v>540</v>
      </c>
      <c r="J187" s="4" t="s">
        <v>541</v>
      </c>
      <c r="L187" s="4" t="s">
        <v>751</v>
      </c>
      <c r="O187" s="4" t="s">
        <v>1040</v>
      </c>
      <c r="P187" s="4">
        <v>561278587</v>
      </c>
      <c r="R187" s="4">
        <v>6900</v>
      </c>
      <c r="S187">
        <f t="shared" si="4"/>
        <v>9798</v>
      </c>
      <c r="T187" s="7">
        <v>-96</v>
      </c>
      <c r="U187">
        <f t="shared" si="5"/>
        <v>391.91999999999996</v>
      </c>
      <c r="V187" s="15">
        <v>0.68300000000000005</v>
      </c>
      <c r="W187" s="4">
        <v>77</v>
      </c>
      <c r="BB187" s="20" t="str">
        <f>HYPERLINK("https://v360.in/diamondview.aspx?cid=preet&amp;d=HN-129-93","https://v360.in/diamondview.aspx?cid=preet&amp;d=HN-129-93")</f>
        <v>https://v360.in/diamondview.aspx?cid=preet&amp;d=HN-129-93</v>
      </c>
    </row>
    <row r="188" spans="1:54" ht="16" x14ac:dyDescent="0.2">
      <c r="A188" s="4" t="s">
        <v>248</v>
      </c>
      <c r="B188" s="7" t="s">
        <v>536</v>
      </c>
      <c r="C188" s="4" t="s">
        <v>557</v>
      </c>
      <c r="D188" s="8">
        <v>1.42</v>
      </c>
      <c r="E188" s="9" t="s">
        <v>546</v>
      </c>
      <c r="F188" s="4" t="s">
        <v>549</v>
      </c>
      <c r="G188" s="4" t="s">
        <v>539</v>
      </c>
      <c r="H188" s="4" t="s">
        <v>540</v>
      </c>
      <c r="I188" s="4" t="s">
        <v>540</v>
      </c>
      <c r="J188" s="4" t="s">
        <v>541</v>
      </c>
      <c r="L188" s="4" t="s">
        <v>752</v>
      </c>
      <c r="O188" s="4" t="s">
        <v>1040</v>
      </c>
      <c r="P188" s="4">
        <v>553259903</v>
      </c>
      <c r="R188" s="4">
        <v>5300</v>
      </c>
      <c r="S188">
        <f t="shared" si="4"/>
        <v>7526</v>
      </c>
      <c r="T188" s="7">
        <v>-96</v>
      </c>
      <c r="U188">
        <f t="shared" si="5"/>
        <v>301.03999999999996</v>
      </c>
      <c r="V188" s="15">
        <v>0.72599999999999998</v>
      </c>
      <c r="W188" s="16">
        <v>0.69</v>
      </c>
      <c r="BB188" s="20" t="str">
        <f>HYPERLINK("https://v360.in/diamondview.aspx?cid=preet&amp;d=HN-128-40","https://v360.in/diamondview.aspx?cid=preet&amp;d=HN-128-40")</f>
        <v>https://v360.in/diamondview.aspx?cid=preet&amp;d=HN-128-40</v>
      </c>
    </row>
    <row r="189" spans="1:54" ht="16" x14ac:dyDescent="0.2">
      <c r="A189" s="4" t="s">
        <v>249</v>
      </c>
      <c r="B189" s="7" t="s">
        <v>536</v>
      </c>
      <c r="C189" s="4" t="s">
        <v>557</v>
      </c>
      <c r="D189" s="8">
        <v>1.37</v>
      </c>
      <c r="E189" s="9" t="s">
        <v>548</v>
      </c>
      <c r="F189" s="4" t="s">
        <v>538</v>
      </c>
      <c r="G189" s="4" t="s">
        <v>539</v>
      </c>
      <c r="H189" s="4" t="s">
        <v>540</v>
      </c>
      <c r="I189" s="4" t="s">
        <v>540</v>
      </c>
      <c r="J189" s="4" t="s">
        <v>541</v>
      </c>
      <c r="L189" s="4" t="s">
        <v>753</v>
      </c>
      <c r="O189" s="4" t="s">
        <v>1040</v>
      </c>
      <c r="P189" s="4">
        <v>561259407</v>
      </c>
      <c r="R189" s="4">
        <v>7200</v>
      </c>
      <c r="S189">
        <f t="shared" si="4"/>
        <v>9864</v>
      </c>
      <c r="T189" s="7">
        <v>-96</v>
      </c>
      <c r="U189">
        <f t="shared" si="5"/>
        <v>394.56000000000006</v>
      </c>
      <c r="V189" s="15">
        <v>0.73099999999999998</v>
      </c>
      <c r="W189" s="15">
        <v>0.72499999999999998</v>
      </c>
      <c r="BB189" s="20" t="str">
        <f>HYPERLINK("https://v360.in/diamondview.aspx?cid=preet&amp;d=HN-130-22","https://v360.in/diamondview.aspx?cid=preet&amp;d=HN-130-22")</f>
        <v>https://v360.in/diamondview.aspx?cid=preet&amp;d=HN-130-22</v>
      </c>
    </row>
    <row r="190" spans="1:54" ht="16" x14ac:dyDescent="0.2">
      <c r="A190" s="4" t="s">
        <v>250</v>
      </c>
      <c r="B190" s="7" t="s">
        <v>536</v>
      </c>
      <c r="C190" s="4" t="s">
        <v>557</v>
      </c>
      <c r="D190" s="8">
        <v>1.35</v>
      </c>
      <c r="E190" s="9" t="s">
        <v>546</v>
      </c>
      <c r="F190" s="4" t="s">
        <v>538</v>
      </c>
      <c r="G190" s="4" t="s">
        <v>539</v>
      </c>
      <c r="H190" s="4" t="s">
        <v>540</v>
      </c>
      <c r="I190" s="4" t="s">
        <v>540</v>
      </c>
      <c r="J190" s="4" t="s">
        <v>541</v>
      </c>
      <c r="L190" s="4" t="s">
        <v>754</v>
      </c>
      <c r="O190" s="4" t="s">
        <v>1040</v>
      </c>
      <c r="P190" s="4">
        <v>561278599</v>
      </c>
      <c r="R190" s="4">
        <v>6900</v>
      </c>
      <c r="S190">
        <f t="shared" si="4"/>
        <v>9315</v>
      </c>
      <c r="T190" s="7">
        <v>-96</v>
      </c>
      <c r="U190">
        <f t="shared" si="5"/>
        <v>372.6</v>
      </c>
      <c r="V190" s="15">
        <v>0.69799999999999995</v>
      </c>
      <c r="W190" s="15">
        <v>0.67500000000000004</v>
      </c>
      <c r="BB190" s="20" t="str">
        <f>HYPERLINK("https://v360.in/diamondview.aspx?cid=preet&amp;d=HN-130-6","https://v360.in/diamondview.aspx?cid=preet&amp;d=HN-130-6")</f>
        <v>https://v360.in/diamondview.aspx?cid=preet&amp;d=HN-130-6</v>
      </c>
    </row>
    <row r="191" spans="1:54" ht="16" x14ac:dyDescent="0.2">
      <c r="A191" s="4" t="s">
        <v>251</v>
      </c>
      <c r="B191" s="7" t="s">
        <v>536</v>
      </c>
      <c r="C191" s="4" t="s">
        <v>557</v>
      </c>
      <c r="D191" s="8">
        <v>1.29</v>
      </c>
      <c r="E191" s="9" t="s">
        <v>546</v>
      </c>
      <c r="F191" s="4" t="s">
        <v>544</v>
      </c>
      <c r="G191" s="4" t="s">
        <v>539</v>
      </c>
      <c r="H191" s="4" t="s">
        <v>540</v>
      </c>
      <c r="I191" s="4" t="s">
        <v>540</v>
      </c>
      <c r="J191" s="4" t="s">
        <v>541</v>
      </c>
      <c r="L191" s="4" t="s">
        <v>755</v>
      </c>
      <c r="O191" s="4" t="s">
        <v>1040</v>
      </c>
      <c r="P191" s="4">
        <v>584379521</v>
      </c>
      <c r="R191" s="4">
        <v>7500</v>
      </c>
      <c r="S191">
        <f t="shared" si="4"/>
        <v>9675</v>
      </c>
      <c r="T191" s="7">
        <v>-96</v>
      </c>
      <c r="U191">
        <f t="shared" si="5"/>
        <v>387</v>
      </c>
      <c r="V191" s="15">
        <v>0.68500000000000005</v>
      </c>
      <c r="W191" s="16">
        <v>0.72</v>
      </c>
      <c r="BB191" s="20" t="str">
        <f>HYPERLINK("https://view.gem360.in/gem360/0706230526-HN-737/gem360-0706230526-HN-737.html","https://view.gem360.in/gem360/0706230526-HN-737/gem360-0706230526-HN-737.html")</f>
        <v>https://view.gem360.in/gem360/0706230526-HN-737/gem360-0706230526-HN-737.html</v>
      </c>
    </row>
    <row r="192" spans="1:54" ht="16" x14ac:dyDescent="0.2">
      <c r="A192" s="4" t="s">
        <v>252</v>
      </c>
      <c r="B192" s="7" t="s">
        <v>536</v>
      </c>
      <c r="C192" s="4" t="s">
        <v>557</v>
      </c>
      <c r="D192" s="8">
        <v>1.28</v>
      </c>
      <c r="E192" s="9" t="s">
        <v>542</v>
      </c>
      <c r="F192" s="4" t="s">
        <v>538</v>
      </c>
      <c r="G192" s="4" t="s">
        <v>539</v>
      </c>
      <c r="H192" s="4" t="s">
        <v>540</v>
      </c>
      <c r="I192" s="4" t="s">
        <v>540</v>
      </c>
      <c r="J192" s="4" t="s">
        <v>541</v>
      </c>
      <c r="L192" s="4" t="s">
        <v>756</v>
      </c>
      <c r="O192" s="4" t="s">
        <v>1040</v>
      </c>
      <c r="P192" s="4">
        <v>587308058</v>
      </c>
      <c r="R192" s="4">
        <v>5700</v>
      </c>
      <c r="S192">
        <f t="shared" si="4"/>
        <v>7296</v>
      </c>
      <c r="T192" s="7">
        <v>-96</v>
      </c>
      <c r="U192">
        <f t="shared" si="5"/>
        <v>291.84000000000003</v>
      </c>
      <c r="V192" s="16">
        <v>0.72</v>
      </c>
      <c r="W192" s="16">
        <v>0.7</v>
      </c>
      <c r="BB192" s="20" t="str">
        <f>HYPERLINK("https://view.gem360.in/gem360/2906230815-HN-786/gem360-2906230815-HN-786.html","https://view.gem360.in/gem360/2906230815-HN-786/gem360-2906230815-HN-786.html")</f>
        <v>https://view.gem360.in/gem360/2906230815-HN-786/gem360-2906230815-HN-786.html</v>
      </c>
    </row>
    <row r="193" spans="1:54" ht="16" x14ac:dyDescent="0.2">
      <c r="A193" s="4" t="s">
        <v>253</v>
      </c>
      <c r="B193" s="7" t="s">
        <v>536</v>
      </c>
      <c r="C193" s="4" t="s">
        <v>557</v>
      </c>
      <c r="D193" s="8">
        <v>1.2</v>
      </c>
      <c r="E193" s="9" t="s">
        <v>546</v>
      </c>
      <c r="F193" s="4" t="s">
        <v>538</v>
      </c>
      <c r="G193" s="4" t="s">
        <v>539</v>
      </c>
      <c r="H193" s="4" t="s">
        <v>540</v>
      </c>
      <c r="I193" s="4" t="s">
        <v>540</v>
      </c>
      <c r="J193" s="4" t="s">
        <v>541</v>
      </c>
      <c r="L193" s="4" t="s">
        <v>757</v>
      </c>
      <c r="O193" s="4" t="s">
        <v>1040</v>
      </c>
      <c r="P193" s="4">
        <v>575396041</v>
      </c>
      <c r="R193" s="4">
        <v>6900</v>
      </c>
      <c r="S193">
        <f t="shared" si="4"/>
        <v>8280</v>
      </c>
      <c r="T193" s="7">
        <v>-96</v>
      </c>
      <c r="U193">
        <f t="shared" si="5"/>
        <v>331.2</v>
      </c>
      <c r="V193" s="15">
        <v>0.69499999999999995</v>
      </c>
      <c r="W193" s="16">
        <v>0.73</v>
      </c>
      <c r="BB193" s="20" t="str">
        <f>HYPERLINK("https://view.gem360.in/gem360/1304230605-HN-159-31/gem360-1304230605-HN-159-31.html","https://view.gem360.in/gem360/1304230605-HN-159-31/gem360-1304230605-HN-159-31.html")</f>
        <v>https://view.gem360.in/gem360/1304230605-HN-159-31/gem360-1304230605-HN-159-31.html</v>
      </c>
    </row>
    <row r="194" spans="1:54" ht="16" x14ac:dyDescent="0.2">
      <c r="A194" s="4" t="s">
        <v>254</v>
      </c>
      <c r="B194" s="7" t="s">
        <v>536</v>
      </c>
      <c r="C194" s="4" t="s">
        <v>557</v>
      </c>
      <c r="D194" s="8">
        <v>1.2</v>
      </c>
      <c r="E194" s="9" t="s">
        <v>536</v>
      </c>
      <c r="F194" s="4" t="s">
        <v>544</v>
      </c>
      <c r="G194" s="4" t="s">
        <v>539</v>
      </c>
      <c r="H194" s="4" t="s">
        <v>540</v>
      </c>
      <c r="I194" s="4" t="s">
        <v>540</v>
      </c>
      <c r="J194" s="4" t="s">
        <v>541</v>
      </c>
      <c r="L194" s="4" t="s">
        <v>758</v>
      </c>
      <c r="O194" s="4" t="s">
        <v>1040</v>
      </c>
      <c r="P194" s="4">
        <v>570376200</v>
      </c>
      <c r="R194" s="4">
        <v>7000</v>
      </c>
      <c r="S194">
        <f t="shared" si="4"/>
        <v>8400</v>
      </c>
      <c r="T194" s="7">
        <v>-96</v>
      </c>
      <c r="U194">
        <f t="shared" si="5"/>
        <v>336</v>
      </c>
      <c r="V194" s="15">
        <v>0.68100000000000005</v>
      </c>
      <c r="W194" s="15">
        <v>0.77500000000000002</v>
      </c>
      <c r="BB194" s="20" t="str">
        <f>HYPERLINK("https://v360.in/diamondview.aspx?cid=preet&amp;d=HN-148-31","https://v360.in/diamondview.aspx?cid=preet&amp;d=HN-148-31")</f>
        <v>https://v360.in/diamondview.aspx?cid=preet&amp;d=HN-148-31</v>
      </c>
    </row>
    <row r="195" spans="1:54" ht="16" x14ac:dyDescent="0.2">
      <c r="A195" s="4" t="s">
        <v>255</v>
      </c>
      <c r="B195" s="7" t="s">
        <v>536</v>
      </c>
      <c r="C195" s="4" t="s">
        <v>557</v>
      </c>
      <c r="D195" s="8">
        <v>1.18</v>
      </c>
      <c r="E195" s="9" t="s">
        <v>536</v>
      </c>
      <c r="F195" s="4" t="s">
        <v>538</v>
      </c>
      <c r="G195" s="4" t="s">
        <v>539</v>
      </c>
      <c r="H195" s="4" t="s">
        <v>540</v>
      </c>
      <c r="I195" s="4" t="s">
        <v>540</v>
      </c>
      <c r="J195" s="4" t="s">
        <v>541</v>
      </c>
      <c r="L195" s="4" t="s">
        <v>759</v>
      </c>
      <c r="O195" s="4" t="s">
        <v>1040</v>
      </c>
      <c r="P195" s="4">
        <v>559298600</v>
      </c>
      <c r="R195" s="4">
        <v>6600</v>
      </c>
      <c r="S195">
        <f t="shared" ref="S195:S258" si="6">R195*D195</f>
        <v>7788</v>
      </c>
      <c r="T195" s="7">
        <v>-96</v>
      </c>
      <c r="U195">
        <f t="shared" ref="U195:U258" si="7">(R195+(R195*T195)/100)*D195</f>
        <v>311.52</v>
      </c>
      <c r="V195" s="15">
        <v>0.70699999999999996</v>
      </c>
      <c r="W195" s="15">
        <v>0.64500000000000002</v>
      </c>
      <c r="BB195" s="20" t="str">
        <f>HYPERLINK("https://v360.in/diamondview.aspx?cid=preet&amp;d=HN-129-43","https://v360.in/diamondview.aspx?cid=preet&amp;d=HN-129-43")</f>
        <v>https://v360.in/diamondview.aspx?cid=preet&amp;d=HN-129-43</v>
      </c>
    </row>
    <row r="196" spans="1:54" ht="16" x14ac:dyDescent="0.2">
      <c r="A196" s="4" t="s">
        <v>256</v>
      </c>
      <c r="B196" s="7" t="s">
        <v>536</v>
      </c>
      <c r="C196" s="4" t="s">
        <v>557</v>
      </c>
      <c r="D196" s="8">
        <v>1.1200000000000001</v>
      </c>
      <c r="E196" s="9" t="s">
        <v>548</v>
      </c>
      <c r="F196" s="4" t="s">
        <v>544</v>
      </c>
      <c r="G196" s="4" t="s">
        <v>539</v>
      </c>
      <c r="H196" s="4" t="s">
        <v>540</v>
      </c>
      <c r="I196" s="4" t="s">
        <v>540</v>
      </c>
      <c r="J196" s="4" t="s">
        <v>541</v>
      </c>
      <c r="L196" s="4" t="s">
        <v>760</v>
      </c>
      <c r="O196" s="4" t="s">
        <v>1040</v>
      </c>
      <c r="P196" s="4">
        <v>587308059</v>
      </c>
      <c r="R196" s="4">
        <v>8000</v>
      </c>
      <c r="S196">
        <f t="shared" si="6"/>
        <v>8960</v>
      </c>
      <c r="T196" s="7">
        <v>-96</v>
      </c>
      <c r="U196">
        <f t="shared" si="7"/>
        <v>358.40000000000003</v>
      </c>
      <c r="V196" s="15">
        <v>0.66800000000000004</v>
      </c>
      <c r="W196" s="4">
        <v>70</v>
      </c>
      <c r="BB196" s="20" t="str">
        <f>HYPERLINK("https://view.gem360.in/gem360/2906230819-HN-785/gem360-2906230819-HN-785.html","https://view.gem360.in/gem360/2906230819-HN-785/gem360-2906230819-HN-785.html")</f>
        <v>https://view.gem360.in/gem360/2906230819-HN-785/gem360-2906230819-HN-785.html</v>
      </c>
    </row>
    <row r="197" spans="1:54" ht="16" x14ac:dyDescent="0.2">
      <c r="A197" s="4" t="s">
        <v>257</v>
      </c>
      <c r="B197" s="7" t="s">
        <v>536</v>
      </c>
      <c r="C197" s="4" t="s">
        <v>557</v>
      </c>
      <c r="D197" s="8">
        <v>1.0900000000000001</v>
      </c>
      <c r="E197" s="9" t="s">
        <v>548</v>
      </c>
      <c r="F197" s="4" t="s">
        <v>544</v>
      </c>
      <c r="G197" s="4" t="s">
        <v>539</v>
      </c>
      <c r="H197" s="4" t="s">
        <v>540</v>
      </c>
      <c r="I197" s="4" t="s">
        <v>540</v>
      </c>
      <c r="J197" s="4" t="s">
        <v>541</v>
      </c>
      <c r="L197" s="4" t="s">
        <v>761</v>
      </c>
      <c r="O197" s="4" t="s">
        <v>1040</v>
      </c>
      <c r="P197" s="4">
        <v>560231284</v>
      </c>
      <c r="R197" s="4">
        <v>8000</v>
      </c>
      <c r="S197">
        <f t="shared" si="6"/>
        <v>8720</v>
      </c>
      <c r="T197" s="7">
        <v>-96</v>
      </c>
      <c r="U197">
        <f t="shared" si="7"/>
        <v>348.8</v>
      </c>
      <c r="V197" s="15">
        <v>0.73299999999999998</v>
      </c>
      <c r="W197" s="15">
        <v>0.67500000000000004</v>
      </c>
      <c r="BB197" s="20" t="str">
        <f>HYPERLINK("https://v360.in/diamondview.aspx?cid=preet&amp;d=HN-130-34","https://v360.in/diamondview.aspx?cid=preet&amp;d=HN-130-34")</f>
        <v>https://v360.in/diamondview.aspx?cid=preet&amp;d=HN-130-34</v>
      </c>
    </row>
    <row r="198" spans="1:54" ht="16" x14ac:dyDescent="0.2">
      <c r="A198" s="4" t="s">
        <v>258</v>
      </c>
      <c r="B198" s="7" t="s">
        <v>536</v>
      </c>
      <c r="C198" s="4" t="s">
        <v>557</v>
      </c>
      <c r="D198" s="8">
        <v>1.0900000000000001</v>
      </c>
      <c r="E198" s="9" t="s">
        <v>536</v>
      </c>
      <c r="F198" s="4" t="s">
        <v>544</v>
      </c>
      <c r="G198" s="4" t="s">
        <v>539</v>
      </c>
      <c r="H198" s="4" t="s">
        <v>540</v>
      </c>
      <c r="I198" s="4" t="s">
        <v>540</v>
      </c>
      <c r="J198" s="4" t="s">
        <v>541</v>
      </c>
      <c r="L198" s="4" t="s">
        <v>762</v>
      </c>
      <c r="O198" s="4" t="s">
        <v>1040</v>
      </c>
      <c r="P198" s="4">
        <v>563201923</v>
      </c>
      <c r="R198" s="4">
        <v>7000</v>
      </c>
      <c r="S198">
        <f t="shared" si="6"/>
        <v>7630.0000000000009</v>
      </c>
      <c r="T198" s="7">
        <v>-96</v>
      </c>
      <c r="U198">
        <f t="shared" si="7"/>
        <v>305.20000000000005</v>
      </c>
      <c r="V198" s="15">
        <v>0.73199999999999998</v>
      </c>
      <c r="W198" s="15">
        <v>0.78500000000000003</v>
      </c>
      <c r="BB198" s="20" t="str">
        <f>HYPERLINK("https://v360.in/diamondview.aspx?cid=preet&amp;d=HN-134-87","https://v360.in/diamondview.aspx?cid=preet&amp;d=HN-134-87")</f>
        <v>https://v360.in/diamondview.aspx?cid=preet&amp;d=HN-134-87</v>
      </c>
    </row>
    <row r="199" spans="1:54" ht="16" x14ac:dyDescent="0.2">
      <c r="A199" s="4" t="s">
        <v>259</v>
      </c>
      <c r="B199" s="7" t="s">
        <v>536</v>
      </c>
      <c r="C199" s="4" t="s">
        <v>557</v>
      </c>
      <c r="D199" s="8">
        <v>1.02</v>
      </c>
      <c r="E199" s="9" t="s">
        <v>548</v>
      </c>
      <c r="F199" s="4" t="s">
        <v>544</v>
      </c>
      <c r="G199" s="4" t="s">
        <v>539</v>
      </c>
      <c r="H199" s="4" t="s">
        <v>540</v>
      </c>
      <c r="I199" s="4" t="s">
        <v>540</v>
      </c>
      <c r="J199" s="4" t="s">
        <v>541</v>
      </c>
      <c r="L199" s="4" t="s">
        <v>763</v>
      </c>
      <c r="O199" s="4" t="s">
        <v>1040</v>
      </c>
      <c r="P199" s="4">
        <v>588373451</v>
      </c>
      <c r="R199" s="4">
        <v>8000</v>
      </c>
      <c r="S199">
        <f t="shared" si="6"/>
        <v>8160</v>
      </c>
      <c r="T199" s="7">
        <v>-96</v>
      </c>
      <c r="U199">
        <f t="shared" si="7"/>
        <v>326.39999999999998</v>
      </c>
      <c r="V199" s="15">
        <v>0.66500000000000004</v>
      </c>
      <c r="W199" s="16">
        <v>0.67</v>
      </c>
      <c r="BB199" s="20" t="str">
        <f>HYPERLINK("https://view.gem360.in/gem360/0707230825-HN-792/gem360-0707230825-HN-792.html","https://view.gem360.in/gem360/0707230825-HN-792/gem360-0707230825-HN-792.html")</f>
        <v>https://view.gem360.in/gem360/0707230825-HN-792/gem360-0707230825-HN-792.html</v>
      </c>
    </row>
    <row r="200" spans="1:54" ht="16" x14ac:dyDescent="0.2">
      <c r="A200" s="4" t="s">
        <v>260</v>
      </c>
      <c r="B200" s="7" t="s">
        <v>536</v>
      </c>
      <c r="C200" s="4" t="s">
        <v>557</v>
      </c>
      <c r="D200" s="8">
        <v>1.01</v>
      </c>
      <c r="E200" s="9" t="s">
        <v>546</v>
      </c>
      <c r="F200" s="4" t="s">
        <v>538</v>
      </c>
      <c r="G200" s="4" t="s">
        <v>539</v>
      </c>
      <c r="H200" s="4" t="s">
        <v>540</v>
      </c>
      <c r="I200" s="4" t="s">
        <v>540</v>
      </c>
      <c r="J200" s="4" t="s">
        <v>541</v>
      </c>
      <c r="L200" s="4" t="s">
        <v>764</v>
      </c>
      <c r="O200" s="4" t="s">
        <v>1040</v>
      </c>
      <c r="P200" s="4">
        <v>587308057</v>
      </c>
      <c r="R200" s="4">
        <v>6900</v>
      </c>
      <c r="S200">
        <f t="shared" si="6"/>
        <v>6969</v>
      </c>
      <c r="T200" s="7">
        <v>-96</v>
      </c>
      <c r="U200">
        <f t="shared" si="7"/>
        <v>278.76</v>
      </c>
      <c r="V200" s="15">
        <v>0.66900000000000004</v>
      </c>
      <c r="W200" s="16">
        <v>0.72</v>
      </c>
      <c r="BB200" s="20" t="str">
        <f>HYPERLINK("https://view.gem360.in/gem360/2906230821-HN-772/gem360-2906230821-HN-772.html","https://view.gem360.in/gem360/2906230821-HN-772/gem360-2906230821-HN-772.html")</f>
        <v>https://view.gem360.in/gem360/2906230821-HN-772/gem360-2906230821-HN-772.html</v>
      </c>
    </row>
    <row r="201" spans="1:54" ht="16" x14ac:dyDescent="0.2">
      <c r="A201" s="4" t="s">
        <v>261</v>
      </c>
      <c r="B201" s="7" t="s">
        <v>536</v>
      </c>
      <c r="C201" s="4" t="s">
        <v>557</v>
      </c>
      <c r="D201" s="8">
        <v>1.01</v>
      </c>
      <c r="E201" s="9" t="s">
        <v>536</v>
      </c>
      <c r="F201" s="4" t="s">
        <v>547</v>
      </c>
      <c r="G201" s="4" t="s">
        <v>539</v>
      </c>
      <c r="H201" s="4" t="s">
        <v>540</v>
      </c>
      <c r="I201" s="4" t="s">
        <v>540</v>
      </c>
      <c r="J201" s="4" t="s">
        <v>541</v>
      </c>
      <c r="L201" s="4" t="s">
        <v>765</v>
      </c>
      <c r="O201" s="4" t="s">
        <v>1040</v>
      </c>
      <c r="P201" s="4">
        <v>585303882</v>
      </c>
      <c r="R201" s="4">
        <v>7300</v>
      </c>
      <c r="S201">
        <f t="shared" si="6"/>
        <v>7373</v>
      </c>
      <c r="T201" s="7">
        <v>-96</v>
      </c>
      <c r="U201">
        <f t="shared" si="7"/>
        <v>294.92</v>
      </c>
      <c r="V201" s="15">
        <v>0.64300000000000002</v>
      </c>
      <c r="W201" s="16">
        <v>0.69</v>
      </c>
      <c r="BB201" s="20" t="str">
        <f>HYPERLINK("https://view.gem360.in/gem360/1206230556-HN-756/gem360-1206230556-HN-756.html","https://view.gem360.in/gem360/1206230556-HN-756/gem360-1206230556-HN-756.html")</f>
        <v>https://view.gem360.in/gem360/1206230556-HN-756/gem360-1206230556-HN-756.html</v>
      </c>
    </row>
    <row r="202" spans="1:54" ht="16" x14ac:dyDescent="0.2">
      <c r="A202" s="4" t="s">
        <v>262</v>
      </c>
      <c r="B202" s="7" t="s">
        <v>536</v>
      </c>
      <c r="C202" s="4" t="s">
        <v>557</v>
      </c>
      <c r="D202" s="8">
        <v>1</v>
      </c>
      <c r="E202" s="9" t="s">
        <v>548</v>
      </c>
      <c r="F202" s="4" t="s">
        <v>549</v>
      </c>
      <c r="G202" s="4" t="s">
        <v>539</v>
      </c>
      <c r="H202" s="4" t="s">
        <v>540</v>
      </c>
      <c r="I202" s="4" t="s">
        <v>551</v>
      </c>
      <c r="J202" s="4" t="s">
        <v>541</v>
      </c>
      <c r="L202" s="4" t="s">
        <v>766</v>
      </c>
      <c r="O202" s="4" t="s">
        <v>1040</v>
      </c>
      <c r="P202" s="4">
        <v>550231430</v>
      </c>
      <c r="R202" s="4">
        <v>5600</v>
      </c>
      <c r="S202">
        <f t="shared" si="6"/>
        <v>5600</v>
      </c>
      <c r="T202" s="7">
        <v>-96</v>
      </c>
      <c r="U202">
        <f t="shared" si="7"/>
        <v>224</v>
      </c>
      <c r="V202" s="15">
        <v>0.72499999999999998</v>
      </c>
      <c r="W202" s="4">
        <v>79</v>
      </c>
      <c r="BB202" s="20" t="str">
        <f>HYPERLINK("https://v360.in/diamondview.aspx?cid=preet&amp;d=HN-97-37","https://v360.in/diamondview.aspx?cid=preet&amp;d=HN-97-37")</f>
        <v>https://v360.in/diamondview.aspx?cid=preet&amp;d=HN-97-37</v>
      </c>
    </row>
    <row r="203" spans="1:54" ht="16" x14ac:dyDescent="0.2">
      <c r="A203" s="4" t="s">
        <v>263</v>
      </c>
      <c r="B203" s="7" t="s">
        <v>536</v>
      </c>
      <c r="C203" s="4" t="s">
        <v>557</v>
      </c>
      <c r="D203" s="8">
        <v>0.92</v>
      </c>
      <c r="E203" s="9" t="s">
        <v>548</v>
      </c>
      <c r="F203" s="4" t="s">
        <v>549</v>
      </c>
      <c r="G203" s="4" t="s">
        <v>539</v>
      </c>
      <c r="H203" s="4" t="s">
        <v>540</v>
      </c>
      <c r="I203" s="4" t="s">
        <v>540</v>
      </c>
      <c r="J203" s="4" t="s">
        <v>541</v>
      </c>
      <c r="L203" s="4" t="s">
        <v>767</v>
      </c>
      <c r="O203" s="4" t="s">
        <v>1040</v>
      </c>
      <c r="P203" s="4">
        <v>561278549</v>
      </c>
      <c r="R203" s="4">
        <v>4500</v>
      </c>
      <c r="S203">
        <f t="shared" si="6"/>
        <v>4140</v>
      </c>
      <c r="T203" s="7">
        <v>-96</v>
      </c>
      <c r="U203">
        <f t="shared" si="7"/>
        <v>165.6</v>
      </c>
      <c r="V203" s="15">
        <v>0.69399999999999995</v>
      </c>
      <c r="W203" s="15">
        <v>0.60499999999999998</v>
      </c>
      <c r="BB203" s="20" t="str">
        <f>HYPERLINK("https://v360.in/diamondview.aspx?cid=preet&amp;d=HN-129-7","https://v360.in/diamondview.aspx?cid=preet&amp;d=HN-129-7")</f>
        <v>https://v360.in/diamondview.aspx?cid=preet&amp;d=HN-129-7</v>
      </c>
    </row>
    <row r="204" spans="1:54" ht="16" x14ac:dyDescent="0.2">
      <c r="A204" s="4" t="s">
        <v>264</v>
      </c>
      <c r="B204" s="7" t="s">
        <v>536</v>
      </c>
      <c r="C204" s="4" t="s">
        <v>558</v>
      </c>
      <c r="D204" s="8">
        <v>2.12</v>
      </c>
      <c r="E204" s="9" t="s">
        <v>546</v>
      </c>
      <c r="F204" s="4" t="s">
        <v>538</v>
      </c>
      <c r="G204" s="4" t="s">
        <v>539</v>
      </c>
      <c r="H204" s="4" t="s">
        <v>540</v>
      </c>
      <c r="I204" s="4" t="s">
        <v>540</v>
      </c>
      <c r="J204" s="4" t="s">
        <v>541</v>
      </c>
      <c r="L204" s="4" t="s">
        <v>768</v>
      </c>
      <c r="O204" s="4" t="s">
        <v>1040</v>
      </c>
      <c r="P204" s="4">
        <v>553217189</v>
      </c>
      <c r="R204" s="4">
        <v>15500</v>
      </c>
      <c r="S204">
        <f t="shared" si="6"/>
        <v>32860</v>
      </c>
      <c r="T204" s="7">
        <v>-96</v>
      </c>
      <c r="U204">
        <f t="shared" si="7"/>
        <v>1314.4</v>
      </c>
      <c r="V204" s="15">
        <v>0.58799999999999997</v>
      </c>
      <c r="W204" s="16">
        <v>0.62</v>
      </c>
      <c r="BB204" s="20" t="str">
        <f>HYPERLINK("https://v360.in/diamondview.aspx?cid=preet&amp;d=HN-127-35","https://v360.in/diamondview.aspx?cid=preet&amp;d=HN-127-35")</f>
        <v>https://v360.in/diamondview.aspx?cid=preet&amp;d=HN-127-35</v>
      </c>
    </row>
    <row r="205" spans="1:54" ht="16" x14ac:dyDescent="0.2">
      <c r="A205" s="4" t="s">
        <v>265</v>
      </c>
      <c r="B205" s="7" t="s">
        <v>536</v>
      </c>
      <c r="C205" s="4" t="s">
        <v>558</v>
      </c>
      <c r="D205" s="8">
        <v>2.11</v>
      </c>
      <c r="E205" s="9" t="s">
        <v>542</v>
      </c>
      <c r="F205" s="4" t="s">
        <v>544</v>
      </c>
      <c r="G205" s="4" t="s">
        <v>539</v>
      </c>
      <c r="H205" s="4" t="s">
        <v>540</v>
      </c>
      <c r="I205" s="4" t="s">
        <v>540</v>
      </c>
      <c r="J205" s="4" t="s">
        <v>541</v>
      </c>
      <c r="L205" s="4" t="s">
        <v>769</v>
      </c>
      <c r="O205" s="4" t="s">
        <v>1040</v>
      </c>
      <c r="P205" s="4">
        <v>523275962</v>
      </c>
      <c r="R205" s="4">
        <v>13000</v>
      </c>
      <c r="S205">
        <f t="shared" si="6"/>
        <v>27430</v>
      </c>
      <c r="T205" s="7">
        <v>-96</v>
      </c>
      <c r="U205">
        <f t="shared" si="7"/>
        <v>1097.2</v>
      </c>
      <c r="V205" s="15">
        <v>0.60699999999999998</v>
      </c>
      <c r="W205" s="15">
        <v>0.58499999999999996</v>
      </c>
      <c r="BB205" s="20" t="str">
        <f>HYPERLINK("","")</f>
        <v/>
      </c>
    </row>
    <row r="206" spans="1:54" ht="16" x14ac:dyDescent="0.2">
      <c r="A206" s="4" t="s">
        <v>266</v>
      </c>
      <c r="B206" s="7" t="s">
        <v>536</v>
      </c>
      <c r="C206" s="4" t="s">
        <v>558</v>
      </c>
      <c r="D206" s="8">
        <v>2.0499999999999998</v>
      </c>
      <c r="E206" s="9" t="s">
        <v>536</v>
      </c>
      <c r="F206" s="4" t="s">
        <v>544</v>
      </c>
      <c r="G206" s="4" t="s">
        <v>539</v>
      </c>
      <c r="H206" s="4" t="s">
        <v>540</v>
      </c>
      <c r="I206" s="4" t="s">
        <v>540</v>
      </c>
      <c r="J206" s="4" t="s">
        <v>541</v>
      </c>
      <c r="L206" s="4" t="s">
        <v>770</v>
      </c>
      <c r="O206" s="4" t="s">
        <v>1040</v>
      </c>
      <c r="P206" s="4">
        <v>571301026</v>
      </c>
      <c r="R206" s="4">
        <v>15500</v>
      </c>
      <c r="S206">
        <f t="shared" si="6"/>
        <v>31774.999999999996</v>
      </c>
      <c r="T206" s="7">
        <v>-96</v>
      </c>
      <c r="U206">
        <f t="shared" si="7"/>
        <v>1271</v>
      </c>
      <c r="V206" s="15">
        <v>0.59799999999999998</v>
      </c>
      <c r="W206" s="16">
        <v>0.63</v>
      </c>
      <c r="BB206" s="20" t="str">
        <f>HYPERLINK("https://v360.in/diamondview.aspx?cid=preet&amp;d=HN-141-29","https://v360.in/diamondview.aspx?cid=preet&amp;d=HN-141-29")</f>
        <v>https://v360.in/diamondview.aspx?cid=preet&amp;d=HN-141-29</v>
      </c>
    </row>
    <row r="207" spans="1:54" ht="16" x14ac:dyDescent="0.2">
      <c r="A207" s="4" t="s">
        <v>267</v>
      </c>
      <c r="B207" s="7" t="s">
        <v>536</v>
      </c>
      <c r="C207" s="4" t="s">
        <v>558</v>
      </c>
      <c r="D207" s="8">
        <v>2.0499999999999998</v>
      </c>
      <c r="E207" s="9" t="s">
        <v>542</v>
      </c>
      <c r="F207" s="4" t="s">
        <v>544</v>
      </c>
      <c r="G207" s="4" t="s">
        <v>539</v>
      </c>
      <c r="H207" s="4" t="s">
        <v>540</v>
      </c>
      <c r="I207" s="4" t="s">
        <v>540</v>
      </c>
      <c r="J207" s="4" t="s">
        <v>541</v>
      </c>
      <c r="L207" s="4" t="s">
        <v>771</v>
      </c>
      <c r="O207" s="4" t="s">
        <v>1040</v>
      </c>
      <c r="P207" s="4">
        <v>523279513</v>
      </c>
      <c r="R207" s="4">
        <v>13000</v>
      </c>
      <c r="S207">
        <f t="shared" si="6"/>
        <v>26649.999999999996</v>
      </c>
      <c r="T207" s="7">
        <v>-96</v>
      </c>
      <c r="U207">
        <f t="shared" si="7"/>
        <v>1066</v>
      </c>
      <c r="V207" s="4">
        <v>64</v>
      </c>
      <c r="W207" s="15">
        <v>0.625</v>
      </c>
      <c r="BB207" s="20" t="str">
        <f>HYPERLINK("https://view.gem360.in/gem360/2304220820-HN52-21/gem360-2304220820-HN52-21.html","https://view.gem360.in/gem360/2304220820-HN52-21/gem360-2304220820-HN52-21.html")</f>
        <v>https://view.gem360.in/gem360/2304220820-HN52-21/gem360-2304220820-HN52-21.html</v>
      </c>
    </row>
    <row r="208" spans="1:54" ht="16" x14ac:dyDescent="0.2">
      <c r="A208" s="4" t="s">
        <v>268</v>
      </c>
      <c r="B208" s="7" t="s">
        <v>536</v>
      </c>
      <c r="C208" s="4" t="s">
        <v>558</v>
      </c>
      <c r="D208" s="8">
        <v>1.7</v>
      </c>
      <c r="E208" s="9" t="s">
        <v>542</v>
      </c>
      <c r="F208" s="4" t="s">
        <v>544</v>
      </c>
      <c r="G208" s="4" t="s">
        <v>539</v>
      </c>
      <c r="H208" s="4" t="s">
        <v>540</v>
      </c>
      <c r="I208" s="4" t="s">
        <v>540</v>
      </c>
      <c r="J208" s="4" t="s">
        <v>541</v>
      </c>
      <c r="L208" s="4" t="s">
        <v>772</v>
      </c>
      <c r="O208" s="4" t="s">
        <v>1040</v>
      </c>
      <c r="P208" s="4">
        <v>575396032</v>
      </c>
      <c r="R208" s="4">
        <v>9500</v>
      </c>
      <c r="S208">
        <f t="shared" si="6"/>
        <v>16150</v>
      </c>
      <c r="T208" s="7">
        <v>-96</v>
      </c>
      <c r="U208">
        <f t="shared" si="7"/>
        <v>646</v>
      </c>
      <c r="V208" s="15">
        <v>0.56100000000000005</v>
      </c>
      <c r="W208" s="15">
        <v>0.625</v>
      </c>
      <c r="BB208" s="20" t="str">
        <f>HYPERLINK("https://view.gem360.in/gem360/1704230615-HN-159-22/gem360-1704230615-HN-159-22.html","https://view.gem360.in/gem360/1704230615-HN-159-22/gem360-1704230615-HN-159-22.html")</f>
        <v>https://view.gem360.in/gem360/1704230615-HN-159-22/gem360-1704230615-HN-159-22.html</v>
      </c>
    </row>
    <row r="209" spans="1:54" ht="16" x14ac:dyDescent="0.2">
      <c r="A209" s="4" t="s">
        <v>269</v>
      </c>
      <c r="B209" s="7" t="s">
        <v>536</v>
      </c>
      <c r="C209" s="4" t="s">
        <v>558</v>
      </c>
      <c r="D209" s="8">
        <v>1.6</v>
      </c>
      <c r="E209" s="9" t="s">
        <v>536</v>
      </c>
      <c r="F209" s="4" t="s">
        <v>544</v>
      </c>
      <c r="G209" s="4" t="s">
        <v>539</v>
      </c>
      <c r="H209" s="4" t="s">
        <v>540</v>
      </c>
      <c r="I209" s="4" t="s">
        <v>540</v>
      </c>
      <c r="J209" s="4" t="s">
        <v>541</v>
      </c>
      <c r="L209" s="4" t="s">
        <v>773</v>
      </c>
      <c r="O209" s="4" t="s">
        <v>1040</v>
      </c>
      <c r="P209" s="4">
        <v>561278583</v>
      </c>
      <c r="R209" s="4">
        <v>11200</v>
      </c>
      <c r="S209">
        <f t="shared" si="6"/>
        <v>17920</v>
      </c>
      <c r="T209" s="7">
        <v>-96</v>
      </c>
      <c r="U209">
        <f t="shared" si="7"/>
        <v>716.80000000000007</v>
      </c>
      <c r="V209" s="15">
        <v>0.60499999999999998</v>
      </c>
      <c r="W209" s="15">
        <v>0.65500000000000003</v>
      </c>
      <c r="BB209" s="20" t="str">
        <f>HYPERLINK("https://v360.in/diamondview.aspx?cid=preet&amp;d=HN-130-38","https://v360.in/diamondview.aspx?cid=preet&amp;d=HN-130-38")</f>
        <v>https://v360.in/diamondview.aspx?cid=preet&amp;d=HN-130-38</v>
      </c>
    </row>
    <row r="210" spans="1:54" ht="16" x14ac:dyDescent="0.2">
      <c r="A210" s="4" t="s">
        <v>270</v>
      </c>
      <c r="B210" s="7" t="s">
        <v>536</v>
      </c>
      <c r="C210" s="4" t="s">
        <v>558</v>
      </c>
      <c r="D210" s="8">
        <v>1.5</v>
      </c>
      <c r="E210" s="9" t="s">
        <v>546</v>
      </c>
      <c r="F210" s="4" t="s">
        <v>549</v>
      </c>
      <c r="G210" s="4" t="s">
        <v>539</v>
      </c>
      <c r="H210" s="4" t="s">
        <v>540</v>
      </c>
      <c r="I210" s="4" t="s">
        <v>551</v>
      </c>
      <c r="J210" s="4" t="s">
        <v>541</v>
      </c>
      <c r="L210" s="4" t="s">
        <v>774</v>
      </c>
      <c r="O210" s="4" t="s">
        <v>1040</v>
      </c>
      <c r="P210" s="4">
        <v>553219359</v>
      </c>
      <c r="R210" s="4">
        <v>9300</v>
      </c>
      <c r="S210">
        <f t="shared" si="6"/>
        <v>13950</v>
      </c>
      <c r="T210" s="7">
        <v>-96</v>
      </c>
      <c r="U210">
        <f t="shared" si="7"/>
        <v>558</v>
      </c>
      <c r="V210" s="15">
        <v>0.65100000000000002</v>
      </c>
      <c r="W210" s="16">
        <v>0.56000000000000005</v>
      </c>
      <c r="BB210" s="20" t="str">
        <f>HYPERLINK("https://v360.in/diamondview.aspx?cid=preet&amp;d=HN-128-31","https://v360.in/diamondview.aspx?cid=preet&amp;d=HN-128-31")</f>
        <v>https://v360.in/diamondview.aspx?cid=preet&amp;d=HN-128-31</v>
      </c>
    </row>
    <row r="211" spans="1:54" ht="16" x14ac:dyDescent="0.2">
      <c r="A211" s="4" t="s">
        <v>271</v>
      </c>
      <c r="B211" s="7" t="s">
        <v>536</v>
      </c>
      <c r="C211" s="4" t="s">
        <v>558</v>
      </c>
      <c r="D211" s="8">
        <v>1.44</v>
      </c>
      <c r="E211" s="9" t="s">
        <v>536</v>
      </c>
      <c r="F211" s="4" t="s">
        <v>538</v>
      </c>
      <c r="G211" s="4" t="s">
        <v>539</v>
      </c>
      <c r="H211" s="4" t="s">
        <v>540</v>
      </c>
      <c r="I211" s="4" t="s">
        <v>540</v>
      </c>
      <c r="J211" s="4" t="s">
        <v>541</v>
      </c>
      <c r="L211" s="4" t="s">
        <v>775</v>
      </c>
      <c r="O211" s="4" t="s">
        <v>1040</v>
      </c>
      <c r="P211" s="4">
        <v>524248718</v>
      </c>
      <c r="R211" s="4">
        <v>6600</v>
      </c>
      <c r="S211">
        <f t="shared" si="6"/>
        <v>9504</v>
      </c>
      <c r="T211" s="7">
        <v>-96</v>
      </c>
      <c r="U211">
        <f t="shared" si="7"/>
        <v>380.15999999999997</v>
      </c>
      <c r="V211" s="15">
        <v>0.60399999999999998</v>
      </c>
      <c r="W211" s="15">
        <v>0.65500000000000003</v>
      </c>
      <c r="BB211" s="20" t="str">
        <f>HYPERLINK("https://view.gem360.in/gem360/1105220629-HN43-152/gem360-1105220629-HN43-152.html","https://view.gem360.in/gem360/1105220629-HN43-152/gem360-1105220629-HN43-152.html")</f>
        <v>https://view.gem360.in/gem360/1105220629-HN43-152/gem360-1105220629-HN43-152.html</v>
      </c>
    </row>
    <row r="212" spans="1:54" ht="16" x14ac:dyDescent="0.2">
      <c r="A212" s="4" t="s">
        <v>272</v>
      </c>
      <c r="B212" s="7" t="s">
        <v>536</v>
      </c>
      <c r="C212" s="4" t="s">
        <v>558</v>
      </c>
      <c r="D212" s="8">
        <v>1.33</v>
      </c>
      <c r="E212" s="9" t="s">
        <v>546</v>
      </c>
      <c r="F212" s="4" t="s">
        <v>544</v>
      </c>
      <c r="G212" s="4" t="s">
        <v>539</v>
      </c>
      <c r="H212" s="4" t="s">
        <v>540</v>
      </c>
      <c r="I212" s="4" t="s">
        <v>540</v>
      </c>
      <c r="J212" s="4" t="s">
        <v>541</v>
      </c>
      <c r="L212" s="4" t="s">
        <v>776</v>
      </c>
      <c r="O212" s="4" t="s">
        <v>1040</v>
      </c>
      <c r="P212" s="4">
        <v>573311712</v>
      </c>
      <c r="R212" s="4">
        <v>7500</v>
      </c>
      <c r="S212">
        <f t="shared" si="6"/>
        <v>9975</v>
      </c>
      <c r="T212" s="7">
        <v>-96</v>
      </c>
      <c r="U212">
        <f t="shared" si="7"/>
        <v>399</v>
      </c>
      <c r="V212" s="15">
        <v>0.57799999999999996</v>
      </c>
      <c r="W212" s="15">
        <v>0.625</v>
      </c>
      <c r="BB212" s="20" t="str">
        <f>HYPERLINK("https://view.gem360.in/gem360/0504230659-HN-153-9/gem360-0504230659-HN-153-9.html","https://view.gem360.in/gem360/0504230659-HN-153-9/gem360-0504230659-HN-153-9.html")</f>
        <v>https://view.gem360.in/gem360/0504230659-HN-153-9/gem360-0504230659-HN-153-9.html</v>
      </c>
    </row>
    <row r="213" spans="1:54" ht="16" x14ac:dyDescent="0.2">
      <c r="A213" s="4" t="s">
        <v>273</v>
      </c>
      <c r="B213" s="7" t="s">
        <v>536</v>
      </c>
      <c r="C213" s="4" t="s">
        <v>558</v>
      </c>
      <c r="D213" s="8">
        <v>1.2</v>
      </c>
      <c r="E213" s="9" t="s">
        <v>536</v>
      </c>
      <c r="F213" s="4" t="s">
        <v>547</v>
      </c>
      <c r="G213" s="4" t="s">
        <v>539</v>
      </c>
      <c r="H213" s="4" t="s">
        <v>540</v>
      </c>
      <c r="I213" s="4" t="s">
        <v>540</v>
      </c>
      <c r="J213" s="4" t="s">
        <v>541</v>
      </c>
      <c r="L213" s="4" t="s">
        <v>777</v>
      </c>
      <c r="O213" s="4" t="s">
        <v>1040</v>
      </c>
      <c r="P213" s="4">
        <v>526286732</v>
      </c>
      <c r="R213" s="4">
        <v>7300</v>
      </c>
      <c r="S213">
        <f t="shared" si="6"/>
        <v>8760</v>
      </c>
      <c r="T213" s="7">
        <v>-96</v>
      </c>
      <c r="U213">
        <f t="shared" si="7"/>
        <v>350.4</v>
      </c>
      <c r="V213" s="15">
        <v>0.57699999999999996</v>
      </c>
      <c r="W213" s="15">
        <v>0.65500000000000003</v>
      </c>
      <c r="BB213" s="20" t="str">
        <f>HYPERLINK("","")</f>
        <v/>
      </c>
    </row>
    <row r="214" spans="1:54" ht="16" x14ac:dyDescent="0.2">
      <c r="A214" s="4" t="s">
        <v>274</v>
      </c>
      <c r="B214" s="7" t="s">
        <v>536</v>
      </c>
      <c r="C214" s="4" t="s">
        <v>558</v>
      </c>
      <c r="D214" s="8">
        <v>1.19</v>
      </c>
      <c r="E214" s="9" t="s">
        <v>546</v>
      </c>
      <c r="F214" s="4" t="s">
        <v>547</v>
      </c>
      <c r="G214" s="4" t="s">
        <v>539</v>
      </c>
      <c r="H214" s="4" t="s">
        <v>540</v>
      </c>
      <c r="I214" s="4" t="s">
        <v>540</v>
      </c>
      <c r="J214" s="4" t="s">
        <v>541</v>
      </c>
      <c r="L214" s="4" t="s">
        <v>778</v>
      </c>
      <c r="O214" s="4" t="s">
        <v>1040</v>
      </c>
      <c r="P214" s="4">
        <v>570376242</v>
      </c>
      <c r="R214" s="4">
        <v>8000</v>
      </c>
      <c r="S214">
        <f t="shared" si="6"/>
        <v>9520</v>
      </c>
      <c r="T214" s="7">
        <v>-96</v>
      </c>
      <c r="U214">
        <f t="shared" si="7"/>
        <v>380.79999999999995</v>
      </c>
      <c r="V214" s="15">
        <v>0.59199999999999997</v>
      </c>
      <c r="W214" s="15">
        <v>0.58499999999999996</v>
      </c>
      <c r="BB214" s="20" t="str">
        <f>HYPERLINK("https://view.gem360.in/gem360/0304230825-HN-142-20/gem360-0304230825-HN-142-20.html","https://view.gem360.in/gem360/0304230825-HN-142-20/gem360-0304230825-HN-142-20.html")</f>
        <v>https://view.gem360.in/gem360/0304230825-HN-142-20/gem360-0304230825-HN-142-20.html</v>
      </c>
    </row>
    <row r="215" spans="1:54" ht="16" x14ac:dyDescent="0.2">
      <c r="A215" s="4" t="s">
        <v>275</v>
      </c>
      <c r="B215" s="7" t="s">
        <v>536</v>
      </c>
      <c r="C215" s="4" t="s">
        <v>558</v>
      </c>
      <c r="D215" s="8">
        <v>1.1499999999999999</v>
      </c>
      <c r="E215" s="9" t="s">
        <v>546</v>
      </c>
      <c r="F215" s="4" t="s">
        <v>544</v>
      </c>
      <c r="G215" s="4" t="s">
        <v>539</v>
      </c>
      <c r="H215" s="4" t="s">
        <v>540</v>
      </c>
      <c r="I215" s="4" t="s">
        <v>540</v>
      </c>
      <c r="J215" s="4" t="s">
        <v>541</v>
      </c>
      <c r="L215" s="4" t="s">
        <v>779</v>
      </c>
      <c r="O215" s="4" t="s">
        <v>1040</v>
      </c>
      <c r="P215" s="4">
        <v>569328551</v>
      </c>
      <c r="R215" s="4">
        <v>7500</v>
      </c>
      <c r="S215">
        <f t="shared" si="6"/>
        <v>8625</v>
      </c>
      <c r="T215" s="7">
        <v>-96</v>
      </c>
      <c r="U215">
        <f t="shared" si="7"/>
        <v>345</v>
      </c>
      <c r="V215" s="15">
        <v>0.60599999999999998</v>
      </c>
      <c r="W215" s="15">
        <v>0.58499999999999996</v>
      </c>
      <c r="BB215" s="20" t="str">
        <f>HYPERLINK("https://v360.in/diamondview.aspx?cid=preet&amp;d=HN-137-27","https://v360.in/diamondview.aspx?cid=preet&amp;d=HN-137-27")</f>
        <v>https://v360.in/diamondview.aspx?cid=preet&amp;d=HN-137-27</v>
      </c>
    </row>
    <row r="216" spans="1:54" ht="16" x14ac:dyDescent="0.2">
      <c r="A216" s="4" t="s">
        <v>276</v>
      </c>
      <c r="B216" s="7" t="s">
        <v>536</v>
      </c>
      <c r="C216" s="4" t="s">
        <v>558</v>
      </c>
      <c r="D216" s="8">
        <v>1.1299999999999999</v>
      </c>
      <c r="E216" s="9" t="s">
        <v>546</v>
      </c>
      <c r="F216" s="4" t="s">
        <v>544</v>
      </c>
      <c r="G216" s="4" t="s">
        <v>539</v>
      </c>
      <c r="H216" s="4" t="s">
        <v>540</v>
      </c>
      <c r="I216" s="4" t="s">
        <v>540</v>
      </c>
      <c r="J216" s="4" t="s">
        <v>541</v>
      </c>
      <c r="L216" s="4" t="s">
        <v>780</v>
      </c>
      <c r="O216" s="4" t="s">
        <v>1040</v>
      </c>
      <c r="P216" s="4">
        <v>588377517</v>
      </c>
      <c r="R216" s="4">
        <v>7500</v>
      </c>
      <c r="S216">
        <f t="shared" si="6"/>
        <v>8475</v>
      </c>
      <c r="T216" s="7">
        <v>-96</v>
      </c>
      <c r="U216">
        <f t="shared" si="7"/>
        <v>338.99999999999994</v>
      </c>
      <c r="V216" s="15">
        <v>0.61599999999999999</v>
      </c>
      <c r="W216" s="16">
        <v>0.59</v>
      </c>
      <c r="BB216" s="20" t="str">
        <f>HYPERLINK("https://view.gem360.in/gem360/1107231031-HN-7011/gem360-1107231031-HN-7011.html","https://view.gem360.in/gem360/1107231031-HN-7011/gem360-1107231031-HN-7011.html")</f>
        <v>https://view.gem360.in/gem360/1107231031-HN-7011/gem360-1107231031-HN-7011.html</v>
      </c>
    </row>
    <row r="217" spans="1:54" ht="16" x14ac:dyDescent="0.2">
      <c r="A217" s="4" t="s">
        <v>277</v>
      </c>
      <c r="B217" s="7" t="s">
        <v>536</v>
      </c>
      <c r="C217" s="4" t="s">
        <v>558</v>
      </c>
      <c r="D217" s="8">
        <v>1.1299999999999999</v>
      </c>
      <c r="E217" s="9" t="s">
        <v>546</v>
      </c>
      <c r="F217" s="4" t="s">
        <v>544</v>
      </c>
      <c r="G217" s="4" t="s">
        <v>539</v>
      </c>
      <c r="H217" s="4" t="s">
        <v>540</v>
      </c>
      <c r="I217" s="4" t="s">
        <v>540</v>
      </c>
      <c r="J217" s="4" t="s">
        <v>541</v>
      </c>
      <c r="L217" s="4" t="s">
        <v>781</v>
      </c>
      <c r="O217" s="4" t="s">
        <v>1040</v>
      </c>
      <c r="P217" s="4">
        <v>576332060</v>
      </c>
      <c r="R217" s="4">
        <v>7500</v>
      </c>
      <c r="S217">
        <f t="shared" si="6"/>
        <v>8475</v>
      </c>
      <c r="T217" s="7">
        <v>-96</v>
      </c>
      <c r="U217">
        <f t="shared" si="7"/>
        <v>338.99999999999994</v>
      </c>
      <c r="V217" s="15">
        <v>0.64100000000000001</v>
      </c>
      <c r="W217" s="15">
        <v>0.56499999999999995</v>
      </c>
      <c r="BB217" s="20" t="str">
        <f>HYPERLINK("https://view.gem360.in/gem360/2104230830-HN-160-12/gem360-2104230830-HN-160-12.html","https://view.gem360.in/gem360/2104230830-HN-160-12/gem360-2104230830-HN-160-12.html")</f>
        <v>https://view.gem360.in/gem360/2104230830-HN-160-12/gem360-2104230830-HN-160-12.html</v>
      </c>
    </row>
    <row r="218" spans="1:54" ht="16" x14ac:dyDescent="0.2">
      <c r="A218" s="4" t="s">
        <v>278</v>
      </c>
      <c r="B218" s="7" t="s">
        <v>536</v>
      </c>
      <c r="C218" s="4" t="s">
        <v>558</v>
      </c>
      <c r="D218" s="8">
        <v>1.1200000000000001</v>
      </c>
      <c r="E218" s="9" t="s">
        <v>542</v>
      </c>
      <c r="F218" s="4" t="s">
        <v>538</v>
      </c>
      <c r="G218" s="4" t="s">
        <v>539</v>
      </c>
      <c r="H218" s="4" t="s">
        <v>540</v>
      </c>
      <c r="I218" s="4" t="s">
        <v>540</v>
      </c>
      <c r="J218" s="4" t="s">
        <v>541</v>
      </c>
      <c r="L218" s="4" t="s">
        <v>782</v>
      </c>
      <c r="O218" s="4" t="s">
        <v>1040</v>
      </c>
      <c r="P218" s="4">
        <v>524248719</v>
      </c>
      <c r="R218" s="4">
        <v>5700</v>
      </c>
      <c r="S218">
        <f t="shared" si="6"/>
        <v>6384.0000000000009</v>
      </c>
      <c r="T218" s="7">
        <v>-96</v>
      </c>
      <c r="U218">
        <f t="shared" si="7"/>
        <v>255.36</v>
      </c>
      <c r="V218" s="15">
        <v>0.58399999999999996</v>
      </c>
      <c r="W218" s="15">
        <v>0.625</v>
      </c>
      <c r="BB218" s="20" t="str">
        <f>HYPERLINK("https://view.gem360.in/gem360/1105220634-HN43-151/gem360-1105220634-HN43-151.html","https://view.gem360.in/gem360/1105220634-HN43-151/gem360-1105220634-HN43-151.html")</f>
        <v>https://view.gem360.in/gem360/1105220634-HN43-151/gem360-1105220634-HN43-151.html</v>
      </c>
    </row>
    <row r="219" spans="1:54" ht="16" x14ac:dyDescent="0.2">
      <c r="A219" s="4" t="s">
        <v>279</v>
      </c>
      <c r="B219" s="7" t="s">
        <v>536</v>
      </c>
      <c r="C219" s="4" t="s">
        <v>558</v>
      </c>
      <c r="D219" s="8">
        <v>1.1100000000000001</v>
      </c>
      <c r="E219" s="9" t="s">
        <v>536</v>
      </c>
      <c r="F219" s="4" t="s">
        <v>544</v>
      </c>
      <c r="G219" s="4" t="s">
        <v>539</v>
      </c>
      <c r="H219" s="4" t="s">
        <v>540</v>
      </c>
      <c r="I219" s="4" t="s">
        <v>540</v>
      </c>
      <c r="J219" s="4" t="s">
        <v>541</v>
      </c>
      <c r="L219" s="4" t="s">
        <v>783</v>
      </c>
      <c r="O219" s="4" t="s">
        <v>1040</v>
      </c>
      <c r="P219" s="4">
        <v>524248667</v>
      </c>
      <c r="R219" s="4">
        <v>7000</v>
      </c>
      <c r="S219">
        <f t="shared" si="6"/>
        <v>7770.0000000000009</v>
      </c>
      <c r="T219" s="7">
        <v>-96</v>
      </c>
      <c r="U219">
        <f t="shared" si="7"/>
        <v>310.8</v>
      </c>
      <c r="V219" s="16">
        <v>0.63</v>
      </c>
      <c r="W219" s="16">
        <v>0.6</v>
      </c>
      <c r="BB219" s="20" t="str">
        <f>HYPERLINK("https://view.gem360.in/gem360/0905220624-HN43-150/gem360-0905220624-HN43-150.html","https://view.gem360.in/gem360/0905220624-HN43-150/gem360-0905220624-HN43-150.html")</f>
        <v>https://view.gem360.in/gem360/0905220624-HN43-150/gem360-0905220624-HN43-150.html</v>
      </c>
    </row>
    <row r="220" spans="1:54" ht="16" x14ac:dyDescent="0.2">
      <c r="A220" s="4" t="s">
        <v>280</v>
      </c>
      <c r="B220" s="7" t="s">
        <v>536</v>
      </c>
      <c r="C220" s="4" t="s">
        <v>558</v>
      </c>
      <c r="D220" s="8">
        <v>1.1000000000000001</v>
      </c>
      <c r="E220" s="9" t="s">
        <v>546</v>
      </c>
      <c r="F220" s="4" t="s">
        <v>538</v>
      </c>
      <c r="G220" s="4" t="s">
        <v>539</v>
      </c>
      <c r="H220" s="4" t="s">
        <v>540</v>
      </c>
      <c r="I220" s="4" t="s">
        <v>540</v>
      </c>
      <c r="J220" s="4" t="s">
        <v>541</v>
      </c>
      <c r="L220" s="4" t="s">
        <v>784</v>
      </c>
      <c r="O220" s="4" t="s">
        <v>1040</v>
      </c>
      <c r="P220" s="4">
        <v>529266452</v>
      </c>
      <c r="R220" s="4">
        <v>6900</v>
      </c>
      <c r="S220">
        <f t="shared" si="6"/>
        <v>7590.0000000000009</v>
      </c>
      <c r="T220" s="7">
        <v>-96</v>
      </c>
      <c r="U220">
        <f t="shared" si="7"/>
        <v>303.60000000000002</v>
      </c>
      <c r="V220" s="16">
        <v>0.64</v>
      </c>
      <c r="W220" s="15">
        <v>0.59499999999999997</v>
      </c>
      <c r="BB220" s="20" t="str">
        <f>HYPERLINK("https://view.gem360.in/gem360/0304230835-HN44-80/gem360-0304230835-HN44-80.html","https://view.gem360.in/gem360/0304230835-HN44-80/gem360-0304230835-HN44-80.html")</f>
        <v>https://view.gem360.in/gem360/0304230835-HN44-80/gem360-0304230835-HN44-80.html</v>
      </c>
    </row>
    <row r="221" spans="1:54" ht="16" x14ac:dyDescent="0.2">
      <c r="A221" s="4" t="s">
        <v>281</v>
      </c>
      <c r="B221" s="7" t="s">
        <v>536</v>
      </c>
      <c r="C221" s="4" t="s">
        <v>558</v>
      </c>
      <c r="D221" s="8">
        <v>1.04</v>
      </c>
      <c r="E221" s="9" t="s">
        <v>546</v>
      </c>
      <c r="F221" s="4" t="s">
        <v>544</v>
      </c>
      <c r="G221" s="4" t="s">
        <v>539</v>
      </c>
      <c r="H221" s="4" t="s">
        <v>540</v>
      </c>
      <c r="I221" s="4" t="s">
        <v>540</v>
      </c>
      <c r="J221" s="4" t="s">
        <v>541</v>
      </c>
      <c r="L221" s="4" t="s">
        <v>785</v>
      </c>
      <c r="O221" s="4" t="s">
        <v>1040</v>
      </c>
      <c r="P221" s="4">
        <v>575396036</v>
      </c>
      <c r="R221" s="4">
        <v>7500</v>
      </c>
      <c r="S221">
        <f t="shared" si="6"/>
        <v>7800</v>
      </c>
      <c r="T221" s="7">
        <v>-96</v>
      </c>
      <c r="U221">
        <f t="shared" si="7"/>
        <v>312</v>
      </c>
      <c r="V221" s="15">
        <v>0.60499999999999998</v>
      </c>
      <c r="W221" s="16">
        <v>0.62</v>
      </c>
      <c r="BB221" s="20" t="str">
        <f>HYPERLINK("https://view.gem360.in/gem360/1304230618-HN-159-26/gem360-1304230618-HN-159-26.html","https://view.gem360.in/gem360/1304230618-HN-159-26/gem360-1304230618-HN-159-26.html")</f>
        <v>https://view.gem360.in/gem360/1304230618-HN-159-26/gem360-1304230618-HN-159-26.html</v>
      </c>
    </row>
    <row r="222" spans="1:54" ht="16" x14ac:dyDescent="0.2">
      <c r="A222" s="4" t="s">
        <v>282</v>
      </c>
      <c r="B222" s="7" t="s">
        <v>536</v>
      </c>
      <c r="C222" s="4" t="s">
        <v>558</v>
      </c>
      <c r="D222" s="8">
        <v>1.04</v>
      </c>
      <c r="E222" s="9" t="s">
        <v>559</v>
      </c>
      <c r="F222" s="4" t="s">
        <v>544</v>
      </c>
      <c r="G222" s="4" t="s">
        <v>539</v>
      </c>
      <c r="H222" s="4" t="s">
        <v>540</v>
      </c>
      <c r="I222" s="4" t="s">
        <v>540</v>
      </c>
      <c r="J222" s="4" t="s">
        <v>541</v>
      </c>
      <c r="L222" s="4" t="s">
        <v>786</v>
      </c>
      <c r="O222" s="4" t="s">
        <v>1040</v>
      </c>
      <c r="P222" s="4">
        <v>528205265</v>
      </c>
      <c r="R222" s="4">
        <v>4200</v>
      </c>
      <c r="S222">
        <f t="shared" si="6"/>
        <v>4368</v>
      </c>
      <c r="T222" s="7">
        <v>-96</v>
      </c>
      <c r="U222">
        <f t="shared" si="7"/>
        <v>174.72</v>
      </c>
      <c r="V222" s="15">
        <v>0.63300000000000001</v>
      </c>
      <c r="W222" s="16">
        <v>0.56000000000000005</v>
      </c>
      <c r="BB222" s="20" t="str">
        <f>HYPERLINK("https://view.gem360.in/gem360/2005221002-HN44-8/gem360-2005221002-HN44-8.html","https://view.gem360.in/gem360/2005221002-HN44-8/gem360-2005221002-HN44-8.html")</f>
        <v>https://view.gem360.in/gem360/2005221002-HN44-8/gem360-2005221002-HN44-8.html</v>
      </c>
    </row>
    <row r="223" spans="1:54" ht="16" x14ac:dyDescent="0.2">
      <c r="A223" s="4" t="s">
        <v>283</v>
      </c>
      <c r="B223" s="7" t="s">
        <v>536</v>
      </c>
      <c r="C223" s="4" t="s">
        <v>558</v>
      </c>
      <c r="D223" s="8">
        <v>1.03</v>
      </c>
      <c r="E223" s="9" t="s">
        <v>548</v>
      </c>
      <c r="F223" s="4" t="s">
        <v>544</v>
      </c>
      <c r="G223" s="4" t="s">
        <v>539</v>
      </c>
      <c r="H223" s="4" t="s">
        <v>540</v>
      </c>
      <c r="I223" s="4" t="s">
        <v>540</v>
      </c>
      <c r="J223" s="4" t="s">
        <v>541</v>
      </c>
      <c r="L223" s="4" t="s">
        <v>787</v>
      </c>
      <c r="O223" s="4" t="s">
        <v>1040</v>
      </c>
      <c r="P223" s="4">
        <v>585303888</v>
      </c>
      <c r="R223" s="4">
        <v>8000</v>
      </c>
      <c r="S223">
        <f t="shared" si="6"/>
        <v>8240</v>
      </c>
      <c r="T223" s="7">
        <v>-96</v>
      </c>
      <c r="U223">
        <f t="shared" si="7"/>
        <v>329.6</v>
      </c>
      <c r="V223" s="15">
        <v>0.60899999999999999</v>
      </c>
      <c r="W223" s="16">
        <v>0.6</v>
      </c>
      <c r="BB223" s="20" t="str">
        <f>HYPERLINK("https://view.gem360.in/gem360/1206230538-HN-769/gem360-1206230538-HN-769.html","https://view.gem360.in/gem360/1206230538-HN-769/gem360-1206230538-HN-769.html")</f>
        <v>https://view.gem360.in/gem360/1206230538-HN-769/gem360-1206230538-HN-769.html</v>
      </c>
    </row>
    <row r="224" spans="1:54" ht="16" x14ac:dyDescent="0.2">
      <c r="A224" s="4" t="s">
        <v>284</v>
      </c>
      <c r="B224" s="7" t="s">
        <v>536</v>
      </c>
      <c r="C224" s="4" t="s">
        <v>558</v>
      </c>
      <c r="D224" s="8">
        <v>1.02</v>
      </c>
      <c r="E224" s="9" t="s">
        <v>546</v>
      </c>
      <c r="F224" s="4" t="s">
        <v>547</v>
      </c>
      <c r="G224" s="4" t="s">
        <v>539</v>
      </c>
      <c r="H224" s="4" t="s">
        <v>540</v>
      </c>
      <c r="I224" s="4" t="s">
        <v>551</v>
      </c>
      <c r="J224" s="4" t="s">
        <v>541</v>
      </c>
      <c r="L224" s="4" t="s">
        <v>788</v>
      </c>
      <c r="O224" s="4" t="s">
        <v>1040</v>
      </c>
      <c r="P224" s="4">
        <v>564365289</v>
      </c>
      <c r="R224" s="4">
        <v>8000</v>
      </c>
      <c r="S224">
        <f t="shared" si="6"/>
        <v>8160</v>
      </c>
      <c r="T224" s="7">
        <v>-96</v>
      </c>
      <c r="U224">
        <f t="shared" si="7"/>
        <v>326.39999999999998</v>
      </c>
      <c r="V224" s="15">
        <v>0.60399999999999998</v>
      </c>
      <c r="W224" s="4">
        <v>62</v>
      </c>
      <c r="BB224" s="20" t="str">
        <f>HYPERLINK("https://v360.in/diamondview.aspx?cid=preet&amp;d=HN-134-1","https://v360.in/diamondview.aspx?cid=preet&amp;d=HN-134-1")</f>
        <v>https://v360.in/diamondview.aspx?cid=preet&amp;d=HN-134-1</v>
      </c>
    </row>
    <row r="225" spans="1:54" ht="16" x14ac:dyDescent="0.2">
      <c r="A225" s="4" t="s">
        <v>285</v>
      </c>
      <c r="B225" s="7" t="s">
        <v>536</v>
      </c>
      <c r="C225" s="4" t="s">
        <v>558</v>
      </c>
      <c r="D225" s="8">
        <v>1.02</v>
      </c>
      <c r="E225" s="9" t="s">
        <v>546</v>
      </c>
      <c r="F225" s="4" t="s">
        <v>549</v>
      </c>
      <c r="G225" s="4" t="s">
        <v>539</v>
      </c>
      <c r="H225" s="4" t="s">
        <v>540</v>
      </c>
      <c r="I225" s="4" t="s">
        <v>540</v>
      </c>
      <c r="J225" s="4" t="s">
        <v>541</v>
      </c>
      <c r="L225" s="4" t="s">
        <v>789</v>
      </c>
      <c r="O225" s="4" t="s">
        <v>1040</v>
      </c>
      <c r="P225" s="4">
        <v>567356449</v>
      </c>
      <c r="R225" s="4">
        <v>5300</v>
      </c>
      <c r="S225">
        <f t="shared" si="6"/>
        <v>5406</v>
      </c>
      <c r="T225" s="7">
        <v>-96</v>
      </c>
      <c r="U225">
        <f t="shared" si="7"/>
        <v>216.24</v>
      </c>
      <c r="V225" s="15">
        <v>0.61299999999999999</v>
      </c>
      <c r="W225" s="15">
        <v>0.57499999999999996</v>
      </c>
      <c r="BB225" s="20" t="str">
        <f>HYPERLINK("https://v360.in/diamondview.aspx?cid=preet&amp;d=HN-136-20","https://v360.in/diamondview.aspx?cid=preet&amp;d=HN-136-20")</f>
        <v>https://v360.in/diamondview.aspx?cid=preet&amp;d=HN-136-20</v>
      </c>
    </row>
    <row r="226" spans="1:54" ht="16" x14ac:dyDescent="0.2">
      <c r="A226" s="4" t="s">
        <v>286</v>
      </c>
      <c r="B226" s="7" t="s">
        <v>536</v>
      </c>
      <c r="C226" s="4" t="s">
        <v>558</v>
      </c>
      <c r="D226" s="8">
        <v>1.02</v>
      </c>
      <c r="E226" s="9" t="s">
        <v>536</v>
      </c>
      <c r="F226" s="4" t="s">
        <v>538</v>
      </c>
      <c r="G226" s="4" t="s">
        <v>539</v>
      </c>
      <c r="H226" s="4" t="s">
        <v>540</v>
      </c>
      <c r="I226" s="4" t="s">
        <v>540</v>
      </c>
      <c r="J226" s="4" t="s">
        <v>541</v>
      </c>
      <c r="L226" s="4" t="s">
        <v>790</v>
      </c>
      <c r="O226" s="4" t="s">
        <v>1040</v>
      </c>
      <c r="P226" s="4">
        <v>524248662</v>
      </c>
      <c r="R226" s="4">
        <v>6600</v>
      </c>
      <c r="S226">
        <f t="shared" si="6"/>
        <v>6732</v>
      </c>
      <c r="T226" s="7">
        <v>-96</v>
      </c>
      <c r="U226">
        <f t="shared" si="7"/>
        <v>269.28000000000003</v>
      </c>
      <c r="V226" s="15">
        <v>0.61599999999999999</v>
      </c>
      <c r="W226" s="15">
        <v>0.58499999999999996</v>
      </c>
      <c r="BB226" s="20" t="str">
        <f>HYPERLINK("https://view.gem360.in/gem360/0905220620-HN40-121/gem360-0905220620-HN40-121.html","https://view.gem360.in/gem360/0905220620-HN40-121/gem360-0905220620-HN40-121.html")</f>
        <v>https://view.gem360.in/gem360/0905220620-HN40-121/gem360-0905220620-HN40-121.html</v>
      </c>
    </row>
    <row r="227" spans="1:54" ht="16" x14ac:dyDescent="0.2">
      <c r="A227" s="4" t="s">
        <v>287</v>
      </c>
      <c r="B227" s="7" t="s">
        <v>536</v>
      </c>
      <c r="C227" s="4" t="s">
        <v>558</v>
      </c>
      <c r="D227" s="8">
        <v>1.01</v>
      </c>
      <c r="E227" s="9" t="s">
        <v>546</v>
      </c>
      <c r="F227" s="4" t="s">
        <v>544</v>
      </c>
      <c r="G227" s="4" t="s">
        <v>539</v>
      </c>
      <c r="H227" s="4" t="s">
        <v>540</v>
      </c>
      <c r="I227" s="4" t="s">
        <v>540</v>
      </c>
      <c r="J227" s="4" t="s">
        <v>541</v>
      </c>
      <c r="L227" s="4" t="s">
        <v>791</v>
      </c>
      <c r="O227" s="4" t="s">
        <v>1040</v>
      </c>
      <c r="P227" s="4">
        <v>576332059</v>
      </c>
      <c r="R227" s="4">
        <v>7500</v>
      </c>
      <c r="S227">
        <f t="shared" si="6"/>
        <v>7575</v>
      </c>
      <c r="T227" s="7">
        <v>-96</v>
      </c>
      <c r="U227">
        <f t="shared" si="7"/>
        <v>303</v>
      </c>
      <c r="V227" s="15">
        <v>0.65300000000000002</v>
      </c>
      <c r="W227" s="16">
        <v>0.57999999999999996</v>
      </c>
      <c r="BB227" s="20" t="str">
        <f>HYPERLINK("https://view.gem360.in/gem360/2104230728-HN-160-11/gem360-2104230728-HN-160-11.html","https://view.gem360.in/gem360/2104230728-HN-160-11/gem360-2104230728-HN-160-11.html")</f>
        <v>https://view.gem360.in/gem360/2104230728-HN-160-11/gem360-2104230728-HN-160-11.html</v>
      </c>
    </row>
    <row r="228" spans="1:54" ht="16" x14ac:dyDescent="0.2">
      <c r="A228" s="4" t="s">
        <v>288</v>
      </c>
      <c r="B228" s="7" t="s">
        <v>536</v>
      </c>
      <c r="C228" s="4" t="s">
        <v>558</v>
      </c>
      <c r="D228" s="8">
        <v>1.01</v>
      </c>
      <c r="E228" s="9" t="s">
        <v>536</v>
      </c>
      <c r="F228" s="4" t="s">
        <v>538</v>
      </c>
      <c r="G228" s="4" t="s">
        <v>539</v>
      </c>
      <c r="H228" s="4" t="s">
        <v>540</v>
      </c>
      <c r="I228" s="4" t="s">
        <v>540</v>
      </c>
      <c r="J228" s="4" t="s">
        <v>541</v>
      </c>
      <c r="L228" s="4" t="s">
        <v>792</v>
      </c>
      <c r="O228" s="4" t="s">
        <v>1040</v>
      </c>
      <c r="P228" s="4">
        <v>575396033</v>
      </c>
      <c r="R228" s="4">
        <v>6600</v>
      </c>
      <c r="S228">
        <f t="shared" si="6"/>
        <v>6666</v>
      </c>
      <c r="T228" s="7">
        <v>-96</v>
      </c>
      <c r="U228">
        <f t="shared" si="7"/>
        <v>266.64</v>
      </c>
      <c r="V228" s="15">
        <v>0.59699999999999998</v>
      </c>
      <c r="W228" s="16">
        <v>0.61</v>
      </c>
      <c r="BB228" s="20" t="str">
        <f>HYPERLINK("https://view.gem360.in/gem360/1704230624-HN-159-23/gem360-1704230624-HN-159-23.html","https://view.gem360.in/gem360/1704230624-HN-159-23/gem360-1704230624-HN-159-23.html")</f>
        <v>https://view.gem360.in/gem360/1704230624-HN-159-23/gem360-1704230624-HN-159-23.html</v>
      </c>
    </row>
    <row r="229" spans="1:54" ht="16" x14ac:dyDescent="0.2">
      <c r="A229" s="4" t="s">
        <v>289</v>
      </c>
      <c r="B229" s="7" t="s">
        <v>536</v>
      </c>
      <c r="C229" s="4" t="s">
        <v>558</v>
      </c>
      <c r="D229" s="8">
        <v>1</v>
      </c>
      <c r="E229" s="9" t="s">
        <v>548</v>
      </c>
      <c r="F229" s="4" t="s">
        <v>544</v>
      </c>
      <c r="G229" s="4" t="s">
        <v>539</v>
      </c>
      <c r="H229" s="4" t="s">
        <v>540</v>
      </c>
      <c r="I229" s="4" t="s">
        <v>540</v>
      </c>
      <c r="J229" s="4" t="s">
        <v>541</v>
      </c>
      <c r="L229" s="4" t="s">
        <v>793</v>
      </c>
      <c r="O229" s="4" t="s">
        <v>1040</v>
      </c>
      <c r="P229" s="4">
        <v>587308061</v>
      </c>
      <c r="R229" s="4">
        <v>8000</v>
      </c>
      <c r="S229">
        <f t="shared" si="6"/>
        <v>8000</v>
      </c>
      <c r="T229" s="7">
        <v>-96</v>
      </c>
      <c r="U229">
        <f t="shared" si="7"/>
        <v>320</v>
      </c>
      <c r="V229" s="15">
        <v>0.623</v>
      </c>
      <c r="W229" s="16">
        <v>0.63</v>
      </c>
      <c r="BB229" s="20" t="str">
        <f>HYPERLINK("https://view.gem360.in/gem360/2906230830-HN-783/gem360-2906230830-HN-783.html","https://view.gem360.in/gem360/2906230830-HN-783/gem360-2906230830-HN-783.html")</f>
        <v>https://view.gem360.in/gem360/2906230830-HN-783/gem360-2906230830-HN-783.html</v>
      </c>
    </row>
    <row r="230" spans="1:54" ht="16" x14ac:dyDescent="0.2">
      <c r="A230" s="4" t="s">
        <v>290</v>
      </c>
      <c r="B230" s="7" t="s">
        <v>536</v>
      </c>
      <c r="C230" s="4" t="s">
        <v>558</v>
      </c>
      <c r="D230" s="8">
        <v>1</v>
      </c>
      <c r="E230" s="9" t="s">
        <v>546</v>
      </c>
      <c r="F230" s="4" t="s">
        <v>547</v>
      </c>
      <c r="G230" s="4" t="s">
        <v>539</v>
      </c>
      <c r="H230" s="4" t="s">
        <v>540</v>
      </c>
      <c r="I230" s="4" t="s">
        <v>551</v>
      </c>
      <c r="J230" s="4" t="s">
        <v>541</v>
      </c>
      <c r="L230" s="4" t="s">
        <v>794</v>
      </c>
      <c r="O230" s="4" t="s">
        <v>1040</v>
      </c>
      <c r="P230" s="4">
        <v>571307677</v>
      </c>
      <c r="R230" s="4">
        <v>8000</v>
      </c>
      <c r="S230">
        <f t="shared" si="6"/>
        <v>8000</v>
      </c>
      <c r="T230" s="7">
        <v>-96</v>
      </c>
      <c r="U230">
        <f t="shared" si="7"/>
        <v>320</v>
      </c>
      <c r="V230" s="15">
        <v>0.58299999999999996</v>
      </c>
      <c r="W230" s="16">
        <v>0.56000000000000005</v>
      </c>
      <c r="BB230" s="20" t="str">
        <f>HYPERLINK("https://v360.in/diamondview.aspx?cid=preet&amp;d=HN-150-6","https://v360.in/diamondview.aspx?cid=preet&amp;d=HN-150-6")</f>
        <v>https://v360.in/diamondview.aspx?cid=preet&amp;d=HN-150-6</v>
      </c>
    </row>
    <row r="231" spans="1:54" ht="16" x14ac:dyDescent="0.2">
      <c r="A231" s="4" t="s">
        <v>291</v>
      </c>
      <c r="B231" s="7" t="s">
        <v>536</v>
      </c>
      <c r="C231" s="4" t="s">
        <v>558</v>
      </c>
      <c r="D231" s="8">
        <v>1</v>
      </c>
      <c r="E231" s="9" t="s">
        <v>546</v>
      </c>
      <c r="F231" s="4" t="s">
        <v>538</v>
      </c>
      <c r="G231" s="4" t="s">
        <v>539</v>
      </c>
      <c r="H231" s="4" t="s">
        <v>540</v>
      </c>
      <c r="I231" s="4" t="s">
        <v>540</v>
      </c>
      <c r="J231" s="4" t="s">
        <v>541</v>
      </c>
      <c r="L231" s="4" t="s">
        <v>795</v>
      </c>
      <c r="O231" s="4" t="s">
        <v>1040</v>
      </c>
      <c r="P231" s="4">
        <v>575396031</v>
      </c>
      <c r="R231" s="4">
        <v>6900</v>
      </c>
      <c r="S231">
        <f t="shared" si="6"/>
        <v>6900</v>
      </c>
      <c r="T231" s="7">
        <v>-96</v>
      </c>
      <c r="U231">
        <f t="shared" si="7"/>
        <v>276</v>
      </c>
      <c r="V231" s="15">
        <v>0.57299999999999995</v>
      </c>
      <c r="W231" s="16">
        <v>0.64</v>
      </c>
      <c r="BB231" s="20" t="str">
        <f>HYPERLINK("https://view.gem360.in/gem360/1704230621-HN-159-21/gem360-1704230621-HN-159-21.html","https://view.gem360.in/gem360/1704230621-HN-159-21/gem360-1704230621-HN-159-21.html")</f>
        <v>https://view.gem360.in/gem360/1704230621-HN-159-21/gem360-1704230621-HN-159-21.html</v>
      </c>
    </row>
    <row r="232" spans="1:54" ht="16" x14ac:dyDescent="0.2">
      <c r="A232" s="4" t="s">
        <v>292</v>
      </c>
      <c r="B232" s="7" t="s">
        <v>536</v>
      </c>
      <c r="C232" s="4" t="s">
        <v>558</v>
      </c>
      <c r="D232" s="8">
        <v>1</v>
      </c>
      <c r="E232" s="9" t="s">
        <v>546</v>
      </c>
      <c r="F232" s="4" t="s">
        <v>544</v>
      </c>
      <c r="G232" s="4" t="s">
        <v>539</v>
      </c>
      <c r="H232" s="4" t="s">
        <v>540</v>
      </c>
      <c r="I232" s="4" t="s">
        <v>540</v>
      </c>
      <c r="J232" s="4" t="s">
        <v>541</v>
      </c>
      <c r="L232" s="4" t="s">
        <v>796</v>
      </c>
      <c r="O232" s="4" t="s">
        <v>1040</v>
      </c>
      <c r="P232" s="4">
        <v>585303885</v>
      </c>
      <c r="R232" s="4">
        <v>7500</v>
      </c>
      <c r="S232">
        <f t="shared" si="6"/>
        <v>7500</v>
      </c>
      <c r="T232" s="7">
        <v>-96</v>
      </c>
      <c r="U232">
        <f t="shared" si="7"/>
        <v>300</v>
      </c>
      <c r="V232" s="16">
        <v>0.57999999999999996</v>
      </c>
      <c r="W232" s="16">
        <v>0.64</v>
      </c>
      <c r="BB232" s="20" t="str">
        <f>HYPERLINK("https://view.gem360.in/gem360/1206230540-HN-761/gem360-1206230540-HN-761.html","https://view.gem360.in/gem360/1206230540-HN-761/gem360-1206230540-HN-761.html")</f>
        <v>https://view.gem360.in/gem360/1206230540-HN-761/gem360-1206230540-HN-761.html</v>
      </c>
    </row>
    <row r="233" spans="1:54" ht="16" x14ac:dyDescent="0.2">
      <c r="A233" s="4" t="s">
        <v>293</v>
      </c>
      <c r="B233" s="7" t="s">
        <v>536</v>
      </c>
      <c r="C233" s="4" t="s">
        <v>558</v>
      </c>
      <c r="D233" s="8">
        <v>1</v>
      </c>
      <c r="E233" s="9" t="s">
        <v>546</v>
      </c>
      <c r="F233" s="4" t="s">
        <v>544</v>
      </c>
      <c r="G233" s="4" t="s">
        <v>539</v>
      </c>
      <c r="H233" s="4" t="s">
        <v>540</v>
      </c>
      <c r="I233" s="4" t="s">
        <v>540</v>
      </c>
      <c r="J233" s="4" t="s">
        <v>541</v>
      </c>
      <c r="L233" s="4" t="s">
        <v>797</v>
      </c>
      <c r="O233" s="4" t="s">
        <v>1040</v>
      </c>
      <c r="P233" s="4">
        <v>572327218</v>
      </c>
      <c r="R233" s="4">
        <v>7500</v>
      </c>
      <c r="S233">
        <f t="shared" si="6"/>
        <v>7500</v>
      </c>
      <c r="T233" s="7">
        <v>-96</v>
      </c>
      <c r="U233">
        <f t="shared" si="7"/>
        <v>300</v>
      </c>
      <c r="V233" s="15">
        <v>0.65100000000000002</v>
      </c>
      <c r="W233" s="16">
        <v>0.59</v>
      </c>
      <c r="BB233" s="20" t="str">
        <f>HYPERLINK("https://v360.in/diamondview.aspx?cid=preet&amp;d=HN-151-7","https://v360.in/diamondview.aspx?cid=preet&amp;d=HN-151-7")</f>
        <v>https://v360.in/diamondview.aspx?cid=preet&amp;d=HN-151-7</v>
      </c>
    </row>
    <row r="234" spans="1:54" ht="16" x14ac:dyDescent="0.2">
      <c r="A234" s="4" t="s">
        <v>294</v>
      </c>
      <c r="B234" s="7" t="s">
        <v>536</v>
      </c>
      <c r="C234" s="4" t="s">
        <v>558</v>
      </c>
      <c r="D234" s="8">
        <v>1</v>
      </c>
      <c r="E234" s="9" t="s">
        <v>546</v>
      </c>
      <c r="F234" s="4" t="s">
        <v>544</v>
      </c>
      <c r="G234" s="4" t="s">
        <v>539</v>
      </c>
      <c r="H234" s="4" t="s">
        <v>540</v>
      </c>
      <c r="I234" s="4" t="s">
        <v>540</v>
      </c>
      <c r="J234" s="4" t="s">
        <v>541</v>
      </c>
      <c r="L234" s="4" t="s">
        <v>798</v>
      </c>
      <c r="O234" s="4" t="s">
        <v>1040</v>
      </c>
      <c r="P234" s="4">
        <v>572327219</v>
      </c>
      <c r="R234" s="4">
        <v>7500</v>
      </c>
      <c r="S234">
        <f t="shared" si="6"/>
        <v>7500</v>
      </c>
      <c r="T234" s="7">
        <v>-96</v>
      </c>
      <c r="U234">
        <f t="shared" si="7"/>
        <v>300</v>
      </c>
      <c r="V234" s="15">
        <v>0.57599999999999996</v>
      </c>
      <c r="W234" s="15">
        <v>0.64500000000000002</v>
      </c>
      <c r="BB234" s="20" t="str">
        <f>HYPERLINK("https://v360.in/diamondview.aspx?cid=preet&amp;d=HN-151-8","https://v360.in/diamondview.aspx?cid=preet&amp;d=HN-151-8")</f>
        <v>https://v360.in/diamondview.aspx?cid=preet&amp;d=HN-151-8</v>
      </c>
    </row>
    <row r="235" spans="1:54" ht="16" x14ac:dyDescent="0.2">
      <c r="A235" s="4" t="s">
        <v>295</v>
      </c>
      <c r="B235" s="7" t="s">
        <v>536</v>
      </c>
      <c r="C235" s="4" t="s">
        <v>558</v>
      </c>
      <c r="D235" s="8">
        <v>1</v>
      </c>
      <c r="E235" s="9" t="s">
        <v>546</v>
      </c>
      <c r="F235" s="4" t="s">
        <v>549</v>
      </c>
      <c r="G235" s="4" t="s">
        <v>539</v>
      </c>
      <c r="H235" s="4" t="s">
        <v>540</v>
      </c>
      <c r="I235" s="4" t="s">
        <v>540</v>
      </c>
      <c r="J235" s="4" t="s">
        <v>541</v>
      </c>
      <c r="L235" s="4" t="s">
        <v>799</v>
      </c>
      <c r="O235" s="4" t="s">
        <v>1040</v>
      </c>
      <c r="P235" s="4">
        <v>553219360</v>
      </c>
      <c r="R235" s="4">
        <v>5300</v>
      </c>
      <c r="S235">
        <f t="shared" si="6"/>
        <v>5300</v>
      </c>
      <c r="T235" s="7">
        <v>-96</v>
      </c>
      <c r="U235">
        <f t="shared" si="7"/>
        <v>212</v>
      </c>
      <c r="V235" s="15">
        <v>0.623</v>
      </c>
      <c r="W235" s="15">
        <v>0.59499999999999997</v>
      </c>
      <c r="BB235" s="20" t="str">
        <f>HYPERLINK("https://v360.in/diamondview.aspx?cid=preet&amp;d=HN-128-42","https://v360.in/diamondview.aspx?cid=preet&amp;d=HN-128-42")</f>
        <v>https://v360.in/diamondview.aspx?cid=preet&amp;d=HN-128-42</v>
      </c>
    </row>
    <row r="236" spans="1:54" ht="16" x14ac:dyDescent="0.2">
      <c r="A236" s="4" t="s">
        <v>296</v>
      </c>
      <c r="B236" s="7" t="s">
        <v>536</v>
      </c>
      <c r="C236" s="4" t="s">
        <v>558</v>
      </c>
      <c r="D236" s="8">
        <v>1</v>
      </c>
      <c r="E236" s="9" t="s">
        <v>536</v>
      </c>
      <c r="F236" s="4" t="s">
        <v>544</v>
      </c>
      <c r="G236" s="4" t="s">
        <v>539</v>
      </c>
      <c r="H236" s="4" t="s">
        <v>540</v>
      </c>
      <c r="I236" s="4" t="s">
        <v>551</v>
      </c>
      <c r="J236" s="4" t="s">
        <v>541</v>
      </c>
      <c r="L236" s="4" t="s">
        <v>800</v>
      </c>
      <c r="O236" s="4" t="s">
        <v>1040</v>
      </c>
      <c r="P236" s="4">
        <v>587308060</v>
      </c>
      <c r="R236" s="4">
        <v>7000</v>
      </c>
      <c r="S236">
        <f t="shared" si="6"/>
        <v>7000</v>
      </c>
      <c r="T236" s="7">
        <v>-96</v>
      </c>
      <c r="U236">
        <f t="shared" si="7"/>
        <v>280</v>
      </c>
      <c r="V236" s="15">
        <v>0.60699999999999998</v>
      </c>
      <c r="W236" s="16">
        <v>0.6</v>
      </c>
      <c r="BB236" s="20" t="str">
        <f>HYPERLINK("https://view.gem360.in/gem360/2906230825-HN-784/gem360-2906230825-HN-784.html","https://view.gem360.in/gem360/2906230825-HN-784/gem360-2906230825-HN-784.html")</f>
        <v>https://view.gem360.in/gem360/2906230825-HN-784/gem360-2906230825-HN-784.html</v>
      </c>
    </row>
    <row r="237" spans="1:54" ht="16" x14ac:dyDescent="0.2">
      <c r="A237" s="4" t="s">
        <v>297</v>
      </c>
      <c r="B237" s="7" t="s">
        <v>536</v>
      </c>
      <c r="C237" s="4" t="s">
        <v>558</v>
      </c>
      <c r="D237" s="8">
        <v>0.97</v>
      </c>
      <c r="E237" s="9" t="s">
        <v>546</v>
      </c>
      <c r="F237" s="4" t="s">
        <v>544</v>
      </c>
      <c r="G237" s="4" t="s">
        <v>539</v>
      </c>
      <c r="H237" s="4" t="s">
        <v>540</v>
      </c>
      <c r="I237" s="4" t="s">
        <v>540</v>
      </c>
      <c r="J237" s="4" t="s">
        <v>541</v>
      </c>
      <c r="L237" s="4" t="s">
        <v>801</v>
      </c>
      <c r="O237" s="4" t="s">
        <v>1040</v>
      </c>
      <c r="P237" s="4">
        <v>566310800</v>
      </c>
      <c r="R237" s="4">
        <v>5500</v>
      </c>
      <c r="S237">
        <f t="shared" si="6"/>
        <v>5335</v>
      </c>
      <c r="T237" s="7">
        <v>-96</v>
      </c>
      <c r="U237">
        <f t="shared" si="7"/>
        <v>213.4</v>
      </c>
      <c r="V237" s="15">
        <v>0.59099999999999997</v>
      </c>
      <c r="W237" s="16">
        <v>0.56999999999999995</v>
      </c>
      <c r="BB237" s="20" t="str">
        <f>HYPERLINK("https://v360.in/diamondview.aspx?cid=preet&amp;d=HN-135-36","https://v360.in/diamondview.aspx?cid=preet&amp;d=HN-135-36")</f>
        <v>https://v360.in/diamondview.aspx?cid=preet&amp;d=HN-135-36</v>
      </c>
    </row>
    <row r="238" spans="1:54" ht="16" x14ac:dyDescent="0.2">
      <c r="A238" s="4" t="s">
        <v>298</v>
      </c>
      <c r="B238" s="7" t="s">
        <v>536</v>
      </c>
      <c r="C238" s="4" t="s">
        <v>558</v>
      </c>
      <c r="D238" s="8">
        <v>0.95</v>
      </c>
      <c r="E238" s="9" t="s">
        <v>548</v>
      </c>
      <c r="F238" s="4" t="s">
        <v>538</v>
      </c>
      <c r="G238" s="4" t="s">
        <v>539</v>
      </c>
      <c r="H238" s="4" t="s">
        <v>540</v>
      </c>
      <c r="I238" s="4" t="s">
        <v>540</v>
      </c>
      <c r="J238" s="4" t="s">
        <v>541</v>
      </c>
      <c r="L238" s="4" t="s">
        <v>802</v>
      </c>
      <c r="O238" s="4" t="s">
        <v>1040</v>
      </c>
      <c r="P238" s="4">
        <v>528205259</v>
      </c>
      <c r="R238" s="4">
        <v>5400</v>
      </c>
      <c r="S238">
        <f t="shared" si="6"/>
        <v>5130</v>
      </c>
      <c r="T238" s="7">
        <v>-96</v>
      </c>
      <c r="U238">
        <f t="shared" si="7"/>
        <v>205.2</v>
      </c>
      <c r="V238" s="4">
        <v>63.4</v>
      </c>
      <c r="W238" s="4">
        <v>58</v>
      </c>
      <c r="BB238" s="20" t="str">
        <f>HYPERLINK("https://view.gem360.in/gem360/2105220606-HN40-120/gem360-2105220606-HN40-120.html","https://view.gem360.in/gem360/2105220606-HN40-120/gem360-2105220606-HN40-120.html")</f>
        <v>https://view.gem360.in/gem360/2105220606-HN40-120/gem360-2105220606-HN40-120.html</v>
      </c>
    </row>
    <row r="239" spans="1:54" ht="16" x14ac:dyDescent="0.2">
      <c r="A239" s="4" t="s">
        <v>299</v>
      </c>
      <c r="B239" s="7" t="s">
        <v>536</v>
      </c>
      <c r="C239" s="4" t="s">
        <v>558</v>
      </c>
      <c r="D239" s="8">
        <v>0.95</v>
      </c>
      <c r="E239" s="9" t="s">
        <v>542</v>
      </c>
      <c r="F239" s="4" t="s">
        <v>544</v>
      </c>
      <c r="G239" s="4" t="s">
        <v>539</v>
      </c>
      <c r="H239" s="4" t="s">
        <v>540</v>
      </c>
      <c r="I239" s="4" t="s">
        <v>540</v>
      </c>
      <c r="J239" s="4" t="s">
        <v>541</v>
      </c>
      <c r="L239" s="4" t="s">
        <v>803</v>
      </c>
      <c r="O239" s="4" t="s">
        <v>1040</v>
      </c>
      <c r="P239" s="4">
        <v>524248597</v>
      </c>
      <c r="R239" s="4">
        <v>4800</v>
      </c>
      <c r="S239">
        <f t="shared" si="6"/>
        <v>4560</v>
      </c>
      <c r="T239" s="7">
        <v>-96</v>
      </c>
      <c r="U239">
        <f t="shared" si="7"/>
        <v>182.39999999999998</v>
      </c>
      <c r="V239" s="15">
        <v>0.59299999999999997</v>
      </c>
      <c r="W239" s="15">
        <v>0.61499999999999999</v>
      </c>
      <c r="BB239" s="20" t="str">
        <f>HYPERLINK("https://view.gem360.in/gem360/1105220638-HN43-155/gem360-1105220638-HN43-155.html","https://view.gem360.in/gem360/1105220638-HN43-155/gem360-1105220638-HN43-155.html")</f>
        <v>https://view.gem360.in/gem360/1105220638-HN43-155/gem360-1105220638-HN43-155.html</v>
      </c>
    </row>
    <row r="240" spans="1:54" ht="16" x14ac:dyDescent="0.2">
      <c r="A240" s="4" t="s">
        <v>300</v>
      </c>
      <c r="B240" s="7" t="s">
        <v>536</v>
      </c>
      <c r="C240" s="4" t="s">
        <v>558</v>
      </c>
      <c r="D240" s="8">
        <v>0.93</v>
      </c>
      <c r="E240" s="9" t="s">
        <v>536</v>
      </c>
      <c r="F240" s="4" t="s">
        <v>538</v>
      </c>
      <c r="G240" s="4" t="s">
        <v>539</v>
      </c>
      <c r="H240" s="4" t="s">
        <v>540</v>
      </c>
      <c r="I240" s="4" t="s">
        <v>540</v>
      </c>
      <c r="J240" s="4" t="s">
        <v>541</v>
      </c>
      <c r="L240" s="4" t="s">
        <v>804</v>
      </c>
      <c r="O240" s="4" t="s">
        <v>1040</v>
      </c>
      <c r="P240" s="4">
        <v>522235991</v>
      </c>
      <c r="R240" s="4">
        <v>4900</v>
      </c>
      <c r="S240">
        <f t="shared" si="6"/>
        <v>4557</v>
      </c>
      <c r="T240" s="7">
        <v>-96</v>
      </c>
      <c r="U240">
        <f t="shared" si="7"/>
        <v>182.28</v>
      </c>
      <c r="V240" s="15">
        <v>0.63200000000000001</v>
      </c>
      <c r="W240" s="15">
        <v>0.55500000000000005</v>
      </c>
      <c r="BB240" s="20" t="str">
        <f>HYPERLINK("https://view.gem360.in/gem360/0904220957-HN40-164/gem360-0904220957-HN40-164.html","https://view.gem360.in/gem360/0904220957-HN40-164/gem360-0904220957-HN40-164.html")</f>
        <v>https://view.gem360.in/gem360/0904220957-HN40-164/gem360-0904220957-HN40-164.html</v>
      </c>
    </row>
    <row r="241" spans="1:54" ht="16" x14ac:dyDescent="0.2">
      <c r="A241" s="4" t="s">
        <v>301</v>
      </c>
      <c r="B241" s="7" t="s">
        <v>536</v>
      </c>
      <c r="C241" s="4" t="s">
        <v>558</v>
      </c>
      <c r="D241" s="8">
        <v>0.91</v>
      </c>
      <c r="E241" s="9" t="s">
        <v>536</v>
      </c>
      <c r="F241" s="4" t="s">
        <v>538</v>
      </c>
      <c r="G241" s="4" t="s">
        <v>539</v>
      </c>
      <c r="H241" s="4" t="s">
        <v>540</v>
      </c>
      <c r="I241" s="4" t="s">
        <v>551</v>
      </c>
      <c r="J241" s="4" t="s">
        <v>541</v>
      </c>
      <c r="L241" s="4" t="s">
        <v>805</v>
      </c>
      <c r="O241" s="4" t="s">
        <v>1040</v>
      </c>
      <c r="P241" s="4">
        <v>526286718</v>
      </c>
      <c r="R241" s="4">
        <v>4900</v>
      </c>
      <c r="S241">
        <f t="shared" si="6"/>
        <v>4459</v>
      </c>
      <c r="T241" s="7">
        <v>-96</v>
      </c>
      <c r="U241">
        <f t="shared" si="7"/>
        <v>178.36</v>
      </c>
      <c r="V241" s="15">
        <v>0.59199999999999997</v>
      </c>
      <c r="W241" s="16">
        <v>0.64</v>
      </c>
      <c r="BB241" s="20" t="str">
        <f>HYPERLINK("https://view.gem360.in/gem360/2005221015-HN43-141/gem360-2005221015-HN43-141.html","https://view.gem360.in/gem360/2005221015-HN43-141/gem360-2005221015-HN43-141.html")</f>
        <v>https://view.gem360.in/gem360/2005221015-HN43-141/gem360-2005221015-HN43-141.html</v>
      </c>
    </row>
    <row r="242" spans="1:54" ht="16" x14ac:dyDescent="0.2">
      <c r="A242" s="4" t="s">
        <v>302</v>
      </c>
      <c r="B242" s="7" t="s">
        <v>536</v>
      </c>
      <c r="C242" s="4" t="s">
        <v>558</v>
      </c>
      <c r="D242" s="8">
        <v>0.9</v>
      </c>
      <c r="E242" s="9" t="s">
        <v>546</v>
      </c>
      <c r="F242" s="4" t="s">
        <v>538</v>
      </c>
      <c r="G242" s="4" t="s">
        <v>539</v>
      </c>
      <c r="H242" s="4" t="s">
        <v>540</v>
      </c>
      <c r="I242" s="4" t="s">
        <v>540</v>
      </c>
      <c r="J242" s="4" t="s">
        <v>541</v>
      </c>
      <c r="L242" s="4" t="s">
        <v>806</v>
      </c>
      <c r="O242" s="4" t="s">
        <v>1040</v>
      </c>
      <c r="P242" s="4">
        <v>528205252</v>
      </c>
      <c r="R242" s="4">
        <v>5200</v>
      </c>
      <c r="S242">
        <f t="shared" si="6"/>
        <v>4680</v>
      </c>
      <c r="T242" s="7">
        <v>-96</v>
      </c>
      <c r="U242">
        <f t="shared" si="7"/>
        <v>187.20000000000002</v>
      </c>
      <c r="V242" s="15">
        <v>0.61299999999999999</v>
      </c>
      <c r="W242" s="15">
        <v>0.59499999999999997</v>
      </c>
      <c r="BB242" s="20" t="str">
        <f>HYPERLINK("https://view.gem360.in/gem360/2105220609-HN44-198/gem360-2105220609-HN44-198.html","https://view.gem360.in/gem360/2105220609-HN44-198/gem360-2105220609-HN44-198.html")</f>
        <v>https://view.gem360.in/gem360/2105220609-HN44-198/gem360-2105220609-HN44-198.html</v>
      </c>
    </row>
    <row r="243" spans="1:54" ht="16" x14ac:dyDescent="0.2">
      <c r="A243" s="4" t="s">
        <v>303</v>
      </c>
      <c r="B243" s="7" t="s">
        <v>536</v>
      </c>
      <c r="C243" s="4" t="s">
        <v>558</v>
      </c>
      <c r="D243" s="8">
        <v>0.9</v>
      </c>
      <c r="E243" s="9" t="s">
        <v>542</v>
      </c>
      <c r="F243" s="4" t="s">
        <v>549</v>
      </c>
      <c r="G243" s="4" t="s">
        <v>539</v>
      </c>
      <c r="H243" s="4" t="s">
        <v>540</v>
      </c>
      <c r="I243" s="4" t="s">
        <v>540</v>
      </c>
      <c r="J243" s="4" t="s">
        <v>541</v>
      </c>
      <c r="L243" s="4" t="s">
        <v>807</v>
      </c>
      <c r="O243" s="4" t="s">
        <v>1040</v>
      </c>
      <c r="P243" s="4">
        <v>526286717</v>
      </c>
      <c r="R243" s="4">
        <v>3800</v>
      </c>
      <c r="S243">
        <f t="shared" si="6"/>
        <v>3420</v>
      </c>
      <c r="T243" s="7">
        <v>-96</v>
      </c>
      <c r="U243">
        <f t="shared" si="7"/>
        <v>136.80000000000001</v>
      </c>
      <c r="V243" s="15">
        <v>0.58699999999999997</v>
      </c>
      <c r="W243" s="15">
        <v>0.61499999999999999</v>
      </c>
      <c r="BB243" s="20" t="str">
        <f>HYPERLINK("https://view.gem360.in/gem360/2005221017-HN43-146/gem360-2005221017-HN43-146.html","https://view.gem360.in/gem360/2005221017-HN43-146/gem360-2005221017-HN43-146.html")</f>
        <v>https://view.gem360.in/gem360/2005221017-HN43-146/gem360-2005221017-HN43-146.html</v>
      </c>
    </row>
    <row r="244" spans="1:54" ht="16" x14ac:dyDescent="0.2">
      <c r="A244" s="4" t="s">
        <v>304</v>
      </c>
      <c r="B244" s="7" t="s">
        <v>536</v>
      </c>
      <c r="C244" s="4" t="s">
        <v>558</v>
      </c>
      <c r="D244" s="8">
        <v>0.85</v>
      </c>
      <c r="E244" s="9" t="s">
        <v>548</v>
      </c>
      <c r="F244" s="4" t="s">
        <v>538</v>
      </c>
      <c r="G244" s="4" t="s">
        <v>539</v>
      </c>
      <c r="H244" s="4" t="s">
        <v>540</v>
      </c>
      <c r="I244" s="4" t="s">
        <v>551</v>
      </c>
      <c r="J244" s="4" t="s">
        <v>541</v>
      </c>
      <c r="L244" s="4" t="s">
        <v>808</v>
      </c>
      <c r="O244" s="4" t="s">
        <v>1040</v>
      </c>
      <c r="P244" s="4">
        <v>547233180</v>
      </c>
      <c r="R244" s="4">
        <v>4200</v>
      </c>
      <c r="S244">
        <f t="shared" si="6"/>
        <v>3570</v>
      </c>
      <c r="T244" s="7">
        <v>-96</v>
      </c>
      <c r="U244">
        <f t="shared" si="7"/>
        <v>142.79999999999998</v>
      </c>
      <c r="V244" s="15">
        <v>0.63600000000000001</v>
      </c>
      <c r="W244" s="15">
        <v>0.58499999999999996</v>
      </c>
      <c r="BB244" s="20" t="str">
        <f>HYPERLINK("https://v360.in/diamondview.aspx?cid=meet&amp;d=HN-81-62","https://v360.in/diamondview.aspx?cid=meet&amp;d=HN-81-62")</f>
        <v>https://v360.in/diamondview.aspx?cid=meet&amp;d=HN-81-62</v>
      </c>
    </row>
    <row r="245" spans="1:54" ht="16" x14ac:dyDescent="0.2">
      <c r="A245" s="4" t="s">
        <v>305</v>
      </c>
      <c r="B245" s="7" t="s">
        <v>536</v>
      </c>
      <c r="C245" s="4" t="s">
        <v>558</v>
      </c>
      <c r="D245" s="8">
        <v>0.85</v>
      </c>
      <c r="E245" s="9" t="s">
        <v>546</v>
      </c>
      <c r="F245" s="4" t="s">
        <v>544</v>
      </c>
      <c r="G245" s="4" t="s">
        <v>539</v>
      </c>
      <c r="H245" s="4" t="s">
        <v>540</v>
      </c>
      <c r="I245" s="4" t="s">
        <v>540</v>
      </c>
      <c r="J245" s="4" t="s">
        <v>541</v>
      </c>
      <c r="L245" s="4" t="s">
        <v>809</v>
      </c>
      <c r="O245" s="4" t="s">
        <v>1040</v>
      </c>
      <c r="P245" s="4">
        <v>524248596</v>
      </c>
      <c r="R245" s="4">
        <v>4500</v>
      </c>
      <c r="S245">
        <f t="shared" si="6"/>
        <v>3825</v>
      </c>
      <c r="T245" s="7">
        <v>-96</v>
      </c>
      <c r="U245">
        <f t="shared" si="7"/>
        <v>153</v>
      </c>
      <c r="V245" s="15">
        <v>0.64600000000000002</v>
      </c>
      <c r="W245" s="16">
        <v>0.51</v>
      </c>
      <c r="BB245" s="20" t="str">
        <f>HYPERLINK("https://view.gem360.in/gem360/1105220642-HN43-144/gem360-1105220642-HN43-144.html","https://view.gem360.in/gem360/1105220642-HN43-144/gem360-1105220642-HN43-144.html")</f>
        <v>https://view.gem360.in/gem360/1105220642-HN43-144/gem360-1105220642-HN43-144.html</v>
      </c>
    </row>
    <row r="246" spans="1:54" ht="16" x14ac:dyDescent="0.2">
      <c r="A246" s="4" t="s">
        <v>306</v>
      </c>
      <c r="B246" s="7" t="s">
        <v>536</v>
      </c>
      <c r="C246" s="4" t="s">
        <v>558</v>
      </c>
      <c r="D246" s="8">
        <v>0.84</v>
      </c>
      <c r="E246" s="9" t="s">
        <v>546</v>
      </c>
      <c r="F246" s="4" t="s">
        <v>544</v>
      </c>
      <c r="G246" s="4" t="s">
        <v>539</v>
      </c>
      <c r="H246" s="4" t="s">
        <v>540</v>
      </c>
      <c r="I246" s="4" t="s">
        <v>551</v>
      </c>
      <c r="J246" s="4" t="s">
        <v>541</v>
      </c>
      <c r="L246" s="4" t="s">
        <v>810</v>
      </c>
      <c r="O246" s="4" t="s">
        <v>1040</v>
      </c>
      <c r="P246" s="4">
        <v>528205250</v>
      </c>
      <c r="R246" s="4">
        <v>4500</v>
      </c>
      <c r="S246">
        <f t="shared" si="6"/>
        <v>3780</v>
      </c>
      <c r="T246" s="7">
        <v>-96</v>
      </c>
      <c r="U246">
        <f t="shared" si="7"/>
        <v>151.19999999999999</v>
      </c>
      <c r="V246" s="15">
        <v>0.63400000000000001</v>
      </c>
      <c r="W246" s="15">
        <v>0.60499999999999998</v>
      </c>
      <c r="BB246" s="20" t="str">
        <f>HYPERLINK("https://view.gem360.in/gem360/2105220630-HN44-92/gem360-2105220630-HN44-92.html","https://view.gem360.in/gem360/2105220630-HN44-92/gem360-2105220630-HN44-92.html")</f>
        <v>https://view.gem360.in/gem360/2105220630-HN44-92/gem360-2105220630-HN44-92.html</v>
      </c>
    </row>
    <row r="247" spans="1:54" ht="16" x14ac:dyDescent="0.2">
      <c r="A247" s="4" t="s">
        <v>307</v>
      </c>
      <c r="B247" s="7" t="s">
        <v>536</v>
      </c>
      <c r="C247" s="4" t="s">
        <v>558</v>
      </c>
      <c r="D247" s="8">
        <v>0.84</v>
      </c>
      <c r="E247" s="9" t="s">
        <v>536</v>
      </c>
      <c r="F247" s="4" t="s">
        <v>538</v>
      </c>
      <c r="G247" s="4" t="s">
        <v>539</v>
      </c>
      <c r="H247" s="4" t="s">
        <v>540</v>
      </c>
      <c r="I247" s="4" t="s">
        <v>540</v>
      </c>
      <c r="J247" s="4" t="s">
        <v>541</v>
      </c>
      <c r="L247" s="4" t="s">
        <v>811</v>
      </c>
      <c r="O247" s="4" t="s">
        <v>1040</v>
      </c>
      <c r="P247" s="4">
        <v>526286723</v>
      </c>
      <c r="R247" s="4">
        <v>3700</v>
      </c>
      <c r="S247">
        <f t="shared" si="6"/>
        <v>3108</v>
      </c>
      <c r="T247" s="7">
        <v>-96</v>
      </c>
      <c r="U247">
        <f t="shared" si="7"/>
        <v>124.32</v>
      </c>
      <c r="V247" s="15">
        <v>0.60499999999999998</v>
      </c>
      <c r="W247" s="16">
        <v>0.57999999999999996</v>
      </c>
      <c r="BB247" s="20" t="str">
        <f>HYPERLINK("","")</f>
        <v/>
      </c>
    </row>
    <row r="248" spans="1:54" ht="16" x14ac:dyDescent="0.2">
      <c r="A248" s="4" t="s">
        <v>308</v>
      </c>
      <c r="B248" s="7" t="s">
        <v>536</v>
      </c>
      <c r="C248" s="4" t="s">
        <v>558</v>
      </c>
      <c r="D248" s="8">
        <v>0.82</v>
      </c>
      <c r="E248" s="9" t="s">
        <v>546</v>
      </c>
      <c r="F248" s="4" t="s">
        <v>544</v>
      </c>
      <c r="G248" s="4" t="s">
        <v>539</v>
      </c>
      <c r="H248" s="4" t="s">
        <v>540</v>
      </c>
      <c r="I248" s="4" t="s">
        <v>540</v>
      </c>
      <c r="J248" s="4" t="s">
        <v>541</v>
      </c>
      <c r="L248" s="4" t="s">
        <v>812</v>
      </c>
      <c r="O248" s="4" t="s">
        <v>1040</v>
      </c>
      <c r="P248" s="4">
        <v>528205258</v>
      </c>
      <c r="R248" s="4">
        <v>4500</v>
      </c>
      <c r="S248">
        <f t="shared" si="6"/>
        <v>3690</v>
      </c>
      <c r="T248" s="7">
        <v>-96</v>
      </c>
      <c r="U248">
        <f t="shared" si="7"/>
        <v>147.6</v>
      </c>
      <c r="V248" s="15">
        <v>0.626</v>
      </c>
      <c r="W248" s="15">
        <v>0.59499999999999997</v>
      </c>
      <c r="BB248" s="20" t="str">
        <f>HYPERLINK("https://view.gem360.in/gem360/2105220633-HN43-139/gem360-2105220633-HN43-139.html","https://view.gem360.in/gem360/2105220633-HN43-139/gem360-2105220633-HN43-139.html")</f>
        <v>https://view.gem360.in/gem360/2105220633-HN43-139/gem360-2105220633-HN43-139.html</v>
      </c>
    </row>
    <row r="249" spans="1:54" ht="16" x14ac:dyDescent="0.2">
      <c r="A249" s="4" t="s">
        <v>309</v>
      </c>
      <c r="B249" s="7" t="s">
        <v>536</v>
      </c>
      <c r="C249" s="4" t="s">
        <v>560</v>
      </c>
      <c r="D249" s="8">
        <v>2.4</v>
      </c>
      <c r="E249" s="9" t="s">
        <v>536</v>
      </c>
      <c r="F249" s="4" t="s">
        <v>544</v>
      </c>
      <c r="G249" s="4" t="s">
        <v>539</v>
      </c>
      <c r="H249" s="4" t="s">
        <v>540</v>
      </c>
      <c r="I249" s="4" t="s">
        <v>540</v>
      </c>
      <c r="J249" s="4" t="s">
        <v>541</v>
      </c>
      <c r="L249" s="4" t="s">
        <v>813</v>
      </c>
      <c r="O249" s="4" t="s">
        <v>1040</v>
      </c>
      <c r="P249" s="4">
        <v>520291588</v>
      </c>
      <c r="R249" s="4">
        <v>15500</v>
      </c>
      <c r="S249">
        <f t="shared" si="6"/>
        <v>37200</v>
      </c>
      <c r="T249" s="7">
        <v>-96</v>
      </c>
      <c r="U249">
        <f t="shared" si="7"/>
        <v>1488</v>
      </c>
      <c r="V249" s="16">
        <v>0.61</v>
      </c>
      <c r="W249" s="15">
        <v>0.59499999999999997</v>
      </c>
      <c r="BB249" s="20" t="str">
        <f>HYPERLINK("https://view.gem360.in/gem360/0304230715-HN-52-33/gem360-0304230715-HN-52-33.html","https://view.gem360.in/gem360/0304230715-HN-52-33/gem360-0304230715-HN-52-33.html")</f>
        <v>https://view.gem360.in/gem360/0304230715-HN-52-33/gem360-0304230715-HN-52-33.html</v>
      </c>
    </row>
    <row r="250" spans="1:54" ht="16" x14ac:dyDescent="0.2">
      <c r="A250" s="4" t="s">
        <v>310</v>
      </c>
      <c r="B250" s="7" t="s">
        <v>536</v>
      </c>
      <c r="C250" s="4" t="s">
        <v>560</v>
      </c>
      <c r="D250" s="8">
        <v>2.27</v>
      </c>
      <c r="E250" s="9" t="s">
        <v>536</v>
      </c>
      <c r="F250" s="4" t="s">
        <v>547</v>
      </c>
      <c r="G250" s="4" t="s">
        <v>539</v>
      </c>
      <c r="H250" s="4" t="s">
        <v>540</v>
      </c>
      <c r="I250" s="4" t="s">
        <v>540</v>
      </c>
      <c r="J250" s="4" t="s">
        <v>541</v>
      </c>
      <c r="L250" s="4" t="s">
        <v>814</v>
      </c>
      <c r="O250" s="4" t="s">
        <v>1040</v>
      </c>
      <c r="P250" s="4">
        <v>522235992</v>
      </c>
      <c r="R250" s="4">
        <v>16500</v>
      </c>
      <c r="S250">
        <f t="shared" si="6"/>
        <v>37455</v>
      </c>
      <c r="T250" s="7">
        <v>-96</v>
      </c>
      <c r="U250">
        <f t="shared" si="7"/>
        <v>1498.2</v>
      </c>
      <c r="V250" s="15">
        <v>0.61299999999999999</v>
      </c>
      <c r="W250" s="16">
        <v>0.59</v>
      </c>
      <c r="BB250" s="20" t="str">
        <f>HYPERLINK("https://view.gem360.in/gem360/0804220957-HN52-36/gem360-0804220957-HN52-36.html","https://view.gem360.in/gem360/0804220957-HN52-36/gem360-0804220957-HN52-36.html")</f>
        <v>https://view.gem360.in/gem360/0804220957-HN52-36/gem360-0804220957-HN52-36.html</v>
      </c>
    </row>
    <row r="251" spans="1:54" ht="16" x14ac:dyDescent="0.2">
      <c r="A251" s="4" t="s">
        <v>311</v>
      </c>
      <c r="B251" s="7" t="s">
        <v>536</v>
      </c>
      <c r="C251" s="4" t="s">
        <v>560</v>
      </c>
      <c r="D251" s="8">
        <v>2.23</v>
      </c>
      <c r="E251" s="9" t="s">
        <v>542</v>
      </c>
      <c r="F251" s="4" t="s">
        <v>544</v>
      </c>
      <c r="G251" s="4" t="s">
        <v>539</v>
      </c>
      <c r="H251" s="4" t="s">
        <v>540</v>
      </c>
      <c r="I251" s="4" t="s">
        <v>540</v>
      </c>
      <c r="J251" s="4" t="s">
        <v>541</v>
      </c>
      <c r="L251" s="4" t="s">
        <v>815</v>
      </c>
      <c r="O251" s="4" t="s">
        <v>1040</v>
      </c>
      <c r="P251" s="4">
        <v>523271699</v>
      </c>
      <c r="R251" s="4">
        <v>13000</v>
      </c>
      <c r="S251">
        <f t="shared" si="6"/>
        <v>28990</v>
      </c>
      <c r="T251" s="7">
        <v>-96</v>
      </c>
      <c r="U251">
        <f t="shared" si="7"/>
        <v>1159.5999999999999</v>
      </c>
      <c r="V251" s="15">
        <v>0.623</v>
      </c>
      <c r="W251" s="16">
        <v>0.59</v>
      </c>
      <c r="BB251" s="20" t="str">
        <f>HYPERLINK("https://view.gem360.in/gem360/0804220957-HN52-36/gem360-0804220957-HN52-16.html","https://view.gem360.in/gem360/0804220957-HN52-36/gem360-0804220957-HN52-16.html")</f>
        <v>https://view.gem360.in/gem360/0804220957-HN52-36/gem360-0804220957-HN52-16.html</v>
      </c>
    </row>
    <row r="252" spans="1:54" ht="16" x14ac:dyDescent="0.2">
      <c r="A252" s="4" t="s">
        <v>312</v>
      </c>
      <c r="B252" s="7" t="s">
        <v>536</v>
      </c>
      <c r="C252" s="4" t="s">
        <v>560</v>
      </c>
      <c r="D252" s="8">
        <v>2.14</v>
      </c>
      <c r="E252" s="9" t="s">
        <v>546</v>
      </c>
      <c r="F252" s="4" t="s">
        <v>544</v>
      </c>
      <c r="G252" s="4" t="s">
        <v>539</v>
      </c>
      <c r="H252" s="4" t="s">
        <v>540</v>
      </c>
      <c r="I252" s="4" t="s">
        <v>540</v>
      </c>
      <c r="J252" s="4" t="s">
        <v>541</v>
      </c>
      <c r="L252" s="4" t="s">
        <v>816</v>
      </c>
      <c r="O252" s="4" t="s">
        <v>1040</v>
      </c>
      <c r="P252" s="4">
        <v>520212219</v>
      </c>
      <c r="R252" s="4">
        <v>17000</v>
      </c>
      <c r="S252">
        <f t="shared" si="6"/>
        <v>36380</v>
      </c>
      <c r="T252" s="7">
        <v>-96</v>
      </c>
      <c r="U252">
        <f t="shared" si="7"/>
        <v>1455.2</v>
      </c>
      <c r="V252" s="15">
        <v>0.621</v>
      </c>
      <c r="W252" s="16">
        <v>0.57999999999999996</v>
      </c>
      <c r="BB252" s="20" t="str">
        <f>HYPERLINK("https://view.gem360.in/gem360/0504220704-HN52-39/gem360-0504220704-HN52-39.html","https://view.gem360.in/gem360/0504220704-HN52-39/gem360-0504220704-HN52-39.html")</f>
        <v>https://view.gem360.in/gem360/0504220704-HN52-39/gem360-0504220704-HN52-39.html</v>
      </c>
    </row>
    <row r="253" spans="1:54" ht="16" x14ac:dyDescent="0.2">
      <c r="A253" s="4" t="s">
        <v>313</v>
      </c>
      <c r="B253" s="7" t="s">
        <v>536</v>
      </c>
      <c r="C253" s="4" t="s">
        <v>560</v>
      </c>
      <c r="D253" s="8">
        <v>2.14</v>
      </c>
      <c r="E253" s="9" t="s">
        <v>536</v>
      </c>
      <c r="F253" s="4" t="s">
        <v>544</v>
      </c>
      <c r="G253" s="4" t="s">
        <v>539</v>
      </c>
      <c r="H253" s="4" t="s">
        <v>540</v>
      </c>
      <c r="I253" s="4" t="s">
        <v>540</v>
      </c>
      <c r="J253" s="4" t="s">
        <v>541</v>
      </c>
      <c r="L253" s="4" t="s">
        <v>817</v>
      </c>
      <c r="O253" s="4" t="s">
        <v>1040</v>
      </c>
      <c r="P253" s="4">
        <v>523271698</v>
      </c>
      <c r="R253" s="4">
        <v>15500</v>
      </c>
      <c r="S253">
        <f t="shared" si="6"/>
        <v>33170</v>
      </c>
      <c r="T253" s="7">
        <v>-96</v>
      </c>
      <c r="U253">
        <f t="shared" si="7"/>
        <v>1326.8000000000002</v>
      </c>
      <c r="V253" s="15">
        <v>0.61399999999999999</v>
      </c>
      <c r="W253" s="15">
        <v>0.60499999999999998</v>
      </c>
      <c r="BB253" s="20" t="str">
        <f>HYPERLINK("","")</f>
        <v/>
      </c>
    </row>
    <row r="254" spans="1:54" ht="16" x14ac:dyDescent="0.2">
      <c r="A254" s="4" t="s">
        <v>314</v>
      </c>
      <c r="B254" s="7" t="s">
        <v>536</v>
      </c>
      <c r="C254" s="4" t="s">
        <v>560</v>
      </c>
      <c r="D254" s="8">
        <v>1.61</v>
      </c>
      <c r="E254" s="9" t="s">
        <v>546</v>
      </c>
      <c r="F254" s="4" t="s">
        <v>544</v>
      </c>
      <c r="G254" s="4" t="s">
        <v>539</v>
      </c>
      <c r="H254" s="4" t="s">
        <v>540</v>
      </c>
      <c r="I254" s="4" t="s">
        <v>540</v>
      </c>
      <c r="J254" s="4" t="s">
        <v>541</v>
      </c>
      <c r="L254" s="4" t="s">
        <v>818</v>
      </c>
      <c r="O254" s="4" t="s">
        <v>1040</v>
      </c>
      <c r="P254" s="4">
        <v>585303894</v>
      </c>
      <c r="R254" s="4">
        <v>12200</v>
      </c>
      <c r="S254">
        <f t="shared" si="6"/>
        <v>19642</v>
      </c>
      <c r="T254" s="7">
        <v>-96</v>
      </c>
      <c r="U254">
        <f t="shared" si="7"/>
        <v>785.68000000000006</v>
      </c>
      <c r="V254" s="15">
        <v>0.63600000000000001</v>
      </c>
      <c r="W254" s="16">
        <v>0.63</v>
      </c>
      <c r="BB254" s="20" t="str">
        <f>HYPERLINK("https://view.gem360.in/gem360/1206230525-HN-762/gem360-1206230525-HN-762.html","https://view.gem360.in/gem360/1206230525-HN-762/gem360-1206230525-HN-762.html")</f>
        <v>https://view.gem360.in/gem360/1206230525-HN-762/gem360-1206230525-HN-762.html</v>
      </c>
    </row>
    <row r="255" spans="1:54" ht="16" x14ac:dyDescent="0.2">
      <c r="A255" s="4" t="s">
        <v>315</v>
      </c>
      <c r="B255" s="7" t="s">
        <v>536</v>
      </c>
      <c r="C255" s="4" t="s">
        <v>560</v>
      </c>
      <c r="D255" s="8">
        <v>1.5</v>
      </c>
      <c r="E255" s="9" t="s">
        <v>548</v>
      </c>
      <c r="F255" s="4" t="s">
        <v>538</v>
      </c>
      <c r="G255" s="4" t="s">
        <v>539</v>
      </c>
      <c r="H255" s="4" t="s">
        <v>540</v>
      </c>
      <c r="I255" s="4" t="s">
        <v>540</v>
      </c>
      <c r="J255" s="4" t="s">
        <v>541</v>
      </c>
      <c r="L255" s="4" t="s">
        <v>819</v>
      </c>
      <c r="O255" s="4" t="s">
        <v>1040</v>
      </c>
      <c r="P255" s="4">
        <v>561278601</v>
      </c>
      <c r="R255" s="4">
        <v>11400</v>
      </c>
      <c r="S255">
        <f t="shared" si="6"/>
        <v>17100</v>
      </c>
      <c r="T255" s="7">
        <v>-96</v>
      </c>
      <c r="U255">
        <f t="shared" si="7"/>
        <v>684</v>
      </c>
      <c r="V255" s="15">
        <v>0.58299999999999996</v>
      </c>
      <c r="W255" s="4">
        <v>64</v>
      </c>
      <c r="BB255" s="20" t="str">
        <f>HYPERLINK("https://v360.in/diamondview.aspx?cid=preet&amp;d=HN-130-102","https://v360.in/diamondview.aspx?cid=preet&amp;d=HN-130-102")</f>
        <v>https://v360.in/diamondview.aspx?cid=preet&amp;d=HN-130-102</v>
      </c>
    </row>
    <row r="256" spans="1:54" ht="16" x14ac:dyDescent="0.2">
      <c r="A256" s="4" t="s">
        <v>316</v>
      </c>
      <c r="B256" s="7" t="s">
        <v>536</v>
      </c>
      <c r="C256" s="4" t="s">
        <v>560</v>
      </c>
      <c r="D256" s="8">
        <v>1.5</v>
      </c>
      <c r="E256" s="9" t="s">
        <v>536</v>
      </c>
      <c r="F256" s="4" t="s">
        <v>544</v>
      </c>
      <c r="G256" s="4" t="s">
        <v>539</v>
      </c>
      <c r="H256" s="4" t="s">
        <v>540</v>
      </c>
      <c r="I256" s="4" t="s">
        <v>540</v>
      </c>
      <c r="J256" s="4" t="s">
        <v>541</v>
      </c>
      <c r="L256" s="4" t="s">
        <v>820</v>
      </c>
      <c r="O256" s="4" t="s">
        <v>1040</v>
      </c>
      <c r="P256" s="4">
        <v>587308064</v>
      </c>
      <c r="R256" s="4">
        <v>11200</v>
      </c>
      <c r="S256">
        <f t="shared" si="6"/>
        <v>16800</v>
      </c>
      <c r="T256" s="7">
        <v>-96</v>
      </c>
      <c r="U256">
        <f t="shared" si="7"/>
        <v>672</v>
      </c>
      <c r="V256" s="15">
        <v>0.60599999999999998</v>
      </c>
      <c r="W256" s="16">
        <v>0.62</v>
      </c>
      <c r="BB256" s="20" t="str">
        <f>HYPERLINK("https://view.gem360.in/gem360/2906230708-HN-788/gem360-2906230708-HN-788.html","https://view.gem360.in/gem360/2906230708-HN-788/gem360-2906230708-HN-788.html")</f>
        <v>https://view.gem360.in/gem360/2906230708-HN-788/gem360-2906230708-HN-788.html</v>
      </c>
    </row>
    <row r="257" spans="1:54" ht="16" x14ac:dyDescent="0.2">
      <c r="A257" s="4" t="s">
        <v>317</v>
      </c>
      <c r="B257" s="7" t="s">
        <v>536</v>
      </c>
      <c r="C257" s="4" t="s">
        <v>560</v>
      </c>
      <c r="D257" s="8">
        <v>1.5</v>
      </c>
      <c r="E257" s="9" t="s">
        <v>555</v>
      </c>
      <c r="F257" s="4" t="s">
        <v>538</v>
      </c>
      <c r="G257" s="4" t="s">
        <v>539</v>
      </c>
      <c r="H257" s="4" t="s">
        <v>540</v>
      </c>
      <c r="I257" s="4" t="s">
        <v>540</v>
      </c>
      <c r="J257" s="4" t="s">
        <v>541</v>
      </c>
      <c r="L257" s="4" t="s">
        <v>821</v>
      </c>
      <c r="O257" s="4" t="s">
        <v>1040</v>
      </c>
      <c r="P257" s="4">
        <v>529266463</v>
      </c>
      <c r="R257" s="4">
        <v>7400</v>
      </c>
      <c r="S257">
        <f t="shared" si="6"/>
        <v>11100</v>
      </c>
      <c r="T257" s="7">
        <v>-96</v>
      </c>
      <c r="U257">
        <f t="shared" si="7"/>
        <v>444</v>
      </c>
      <c r="V257" s="15">
        <v>0.65700000000000003</v>
      </c>
      <c r="W257" s="16">
        <v>0.55000000000000004</v>
      </c>
      <c r="BB257" s="20" t="str">
        <f>HYPERLINK("https://view.gem360.in/gem360/0304230719-HN44-42/gem360-0304230719-HN44-42.html","https://view.gem360.in/gem360/0304230719-HN44-42/gem360-0304230719-HN44-42.html")</f>
        <v>https://view.gem360.in/gem360/0304230719-HN44-42/gem360-0304230719-HN44-42.html</v>
      </c>
    </row>
    <row r="258" spans="1:54" ht="16" x14ac:dyDescent="0.2">
      <c r="A258" s="4" t="s">
        <v>318</v>
      </c>
      <c r="B258" s="7" t="s">
        <v>536</v>
      </c>
      <c r="C258" s="4" t="s">
        <v>560</v>
      </c>
      <c r="D258" s="8">
        <v>1.18</v>
      </c>
      <c r="E258" s="9" t="s">
        <v>536</v>
      </c>
      <c r="F258" s="4" t="s">
        <v>538</v>
      </c>
      <c r="G258" s="4" t="s">
        <v>539</v>
      </c>
      <c r="H258" s="4" t="s">
        <v>540</v>
      </c>
      <c r="I258" s="4" t="s">
        <v>540</v>
      </c>
      <c r="J258" s="4" t="s">
        <v>541</v>
      </c>
      <c r="L258" s="4" t="s">
        <v>822</v>
      </c>
      <c r="O258" s="4" t="s">
        <v>1040</v>
      </c>
      <c r="P258" s="4">
        <v>570376230</v>
      </c>
      <c r="R258" s="4">
        <v>6600</v>
      </c>
      <c r="S258">
        <f t="shared" si="6"/>
        <v>7788</v>
      </c>
      <c r="T258" s="7">
        <v>-96</v>
      </c>
      <c r="U258">
        <f t="shared" si="7"/>
        <v>311.52</v>
      </c>
      <c r="V258" s="15">
        <v>0.59799999999999998</v>
      </c>
      <c r="W258" s="16">
        <v>0.56999999999999995</v>
      </c>
      <c r="BB258" s="20" t="str">
        <f>HYPERLINK("https://view.gem360.in/gem360/0304230722-HN-142-29/gem360-0304230722-HN-142-29.html","https://view.gem360.in/gem360/0304230722-HN-142-29/gem360-0304230722-HN-142-29.html")</f>
        <v>https://view.gem360.in/gem360/0304230722-HN-142-29/gem360-0304230722-HN-142-29.html</v>
      </c>
    </row>
    <row r="259" spans="1:54" ht="16" x14ac:dyDescent="0.2">
      <c r="A259" s="4" t="s">
        <v>319</v>
      </c>
      <c r="B259" s="7" t="s">
        <v>536</v>
      </c>
      <c r="C259" s="4" t="s">
        <v>560</v>
      </c>
      <c r="D259" s="8">
        <v>1.1499999999999999</v>
      </c>
      <c r="E259" s="9" t="s">
        <v>536</v>
      </c>
      <c r="F259" s="4" t="s">
        <v>544</v>
      </c>
      <c r="G259" s="4" t="s">
        <v>539</v>
      </c>
      <c r="H259" s="4" t="s">
        <v>540</v>
      </c>
      <c r="I259" s="4" t="s">
        <v>540</v>
      </c>
      <c r="J259" s="4" t="s">
        <v>541</v>
      </c>
      <c r="L259" s="4" t="s">
        <v>823</v>
      </c>
      <c r="O259" s="4" t="s">
        <v>1040</v>
      </c>
      <c r="P259" s="4">
        <v>570376204</v>
      </c>
      <c r="R259" s="4">
        <v>7000</v>
      </c>
      <c r="S259">
        <f t="shared" ref="S259:S322" si="8">R259*D259</f>
        <v>8049.9999999999991</v>
      </c>
      <c r="T259" s="7">
        <v>-96</v>
      </c>
      <c r="U259">
        <f t="shared" ref="U259:U322" si="9">(R259+(R259*T259)/100)*D259</f>
        <v>322</v>
      </c>
      <c r="V259" s="15">
        <v>0.61099999999999999</v>
      </c>
      <c r="W259" s="16">
        <v>0.63</v>
      </c>
      <c r="BB259" s="20" t="str">
        <f>HYPERLINK("https://v360.in/diamondview.aspx?cid=preet&amp;d=HN-148-19","https://v360.in/diamondview.aspx?cid=preet&amp;d=HN-148-19")</f>
        <v>https://v360.in/diamondview.aspx?cid=preet&amp;d=HN-148-19</v>
      </c>
    </row>
    <row r="260" spans="1:54" ht="16" x14ac:dyDescent="0.2">
      <c r="A260" s="4" t="s">
        <v>320</v>
      </c>
      <c r="B260" s="7" t="s">
        <v>536</v>
      </c>
      <c r="C260" s="4" t="s">
        <v>560</v>
      </c>
      <c r="D260" s="8">
        <v>1.1299999999999999</v>
      </c>
      <c r="E260" s="9" t="s">
        <v>546</v>
      </c>
      <c r="F260" s="4" t="s">
        <v>544</v>
      </c>
      <c r="G260" s="4" t="s">
        <v>539</v>
      </c>
      <c r="H260" s="4" t="s">
        <v>540</v>
      </c>
      <c r="I260" s="4" t="s">
        <v>540</v>
      </c>
      <c r="J260" s="4" t="s">
        <v>541</v>
      </c>
      <c r="L260" s="4" t="s">
        <v>824</v>
      </c>
      <c r="O260" s="4" t="s">
        <v>1040</v>
      </c>
      <c r="P260" s="4">
        <v>549294084</v>
      </c>
      <c r="R260" s="4">
        <v>7500</v>
      </c>
      <c r="S260">
        <f t="shared" si="8"/>
        <v>8475</v>
      </c>
      <c r="T260" s="7">
        <v>-96</v>
      </c>
      <c r="U260">
        <f t="shared" si="9"/>
        <v>338.99999999999994</v>
      </c>
      <c r="V260" s="15">
        <v>0.61099999999999999</v>
      </c>
      <c r="W260" s="16">
        <v>0.64</v>
      </c>
      <c r="BB260" s="20" t="str">
        <f>HYPERLINK("https://view.gem360.in/gem360/0304230725-HN-101-60/gem360-0304230725-HN-101-60.html","https://view.gem360.in/gem360/0304230725-HN-101-60/gem360-0304230725-HN-101-60.html")</f>
        <v>https://view.gem360.in/gem360/0304230725-HN-101-60/gem360-0304230725-HN-101-60.html</v>
      </c>
    </row>
    <row r="261" spans="1:54" ht="16" x14ac:dyDescent="0.2">
      <c r="A261" s="4" t="s">
        <v>321</v>
      </c>
      <c r="B261" s="7" t="s">
        <v>536</v>
      </c>
      <c r="C261" s="4" t="s">
        <v>560</v>
      </c>
      <c r="D261" s="8">
        <v>1.1299999999999999</v>
      </c>
      <c r="E261" s="9" t="s">
        <v>536</v>
      </c>
      <c r="F261" s="4" t="s">
        <v>538</v>
      </c>
      <c r="G261" s="4" t="s">
        <v>539</v>
      </c>
      <c r="H261" s="4" t="s">
        <v>540</v>
      </c>
      <c r="I261" s="4" t="s">
        <v>540</v>
      </c>
      <c r="J261" s="4" t="s">
        <v>541</v>
      </c>
      <c r="L261" s="4" t="s">
        <v>825</v>
      </c>
      <c r="O261" s="4" t="s">
        <v>1040</v>
      </c>
      <c r="P261" s="4">
        <v>572327194</v>
      </c>
      <c r="R261" s="4">
        <v>6600</v>
      </c>
      <c r="S261">
        <f t="shared" si="8"/>
        <v>7457.9999999999991</v>
      </c>
      <c r="T261" s="7">
        <v>-96</v>
      </c>
      <c r="U261">
        <f t="shared" si="9"/>
        <v>298.32</v>
      </c>
      <c r="V261" s="15">
        <v>0.57899999999999996</v>
      </c>
      <c r="W261" s="15">
        <v>0.60499999999999998</v>
      </c>
      <c r="BB261" s="20" t="str">
        <f>HYPERLINK("https://v360.in/diamondview.aspx?cid=preet&amp;d=HN-151-15","https://v360.in/diamondview.aspx?cid=preet&amp;d=HN-151-15")</f>
        <v>https://v360.in/diamondview.aspx?cid=preet&amp;d=HN-151-15</v>
      </c>
    </row>
    <row r="262" spans="1:54" ht="16" x14ac:dyDescent="0.2">
      <c r="A262" s="4" t="s">
        <v>322</v>
      </c>
      <c r="B262" s="7" t="s">
        <v>536</v>
      </c>
      <c r="C262" s="4" t="s">
        <v>560</v>
      </c>
      <c r="D262" s="8">
        <v>1.1100000000000001</v>
      </c>
      <c r="E262" s="9" t="s">
        <v>548</v>
      </c>
      <c r="F262" s="4" t="s">
        <v>544</v>
      </c>
      <c r="G262" s="4" t="s">
        <v>539</v>
      </c>
      <c r="H262" s="4" t="s">
        <v>540</v>
      </c>
      <c r="I262" s="4" t="s">
        <v>551</v>
      </c>
      <c r="J262" s="4" t="s">
        <v>541</v>
      </c>
      <c r="L262" s="4" t="s">
        <v>826</v>
      </c>
      <c r="O262" s="4" t="s">
        <v>1040</v>
      </c>
      <c r="P262" s="4">
        <v>588335182</v>
      </c>
      <c r="R262" s="4">
        <v>8000</v>
      </c>
      <c r="S262">
        <f t="shared" si="8"/>
        <v>8880</v>
      </c>
      <c r="T262" s="7">
        <v>-96</v>
      </c>
      <c r="U262">
        <f t="shared" si="9"/>
        <v>355.20000000000005</v>
      </c>
      <c r="V262" s="15">
        <v>0.61099999999999999</v>
      </c>
      <c r="W262" s="16">
        <v>0.6</v>
      </c>
      <c r="BB262" s="20" t="str">
        <f>HYPERLINK("https://view.gem360.in/gem360/0407230507-HN-4/gem360-0407230507-HN-4.html","https://view.gem360.in/gem360/0407230507-HN-4/gem360-0407230507-HN-4.html")</f>
        <v>https://view.gem360.in/gem360/0407230507-HN-4/gem360-0407230507-HN-4.html</v>
      </c>
    </row>
    <row r="263" spans="1:54" ht="16" x14ac:dyDescent="0.2">
      <c r="A263" s="4" t="s">
        <v>323</v>
      </c>
      <c r="B263" s="7" t="s">
        <v>536</v>
      </c>
      <c r="C263" s="4" t="s">
        <v>560</v>
      </c>
      <c r="D263" s="8">
        <v>1.1000000000000001</v>
      </c>
      <c r="E263" s="9" t="s">
        <v>546</v>
      </c>
      <c r="F263" s="4" t="s">
        <v>544</v>
      </c>
      <c r="G263" s="4" t="s">
        <v>539</v>
      </c>
      <c r="H263" s="4" t="s">
        <v>540</v>
      </c>
      <c r="I263" s="4" t="s">
        <v>540</v>
      </c>
      <c r="J263" s="4" t="s">
        <v>541</v>
      </c>
      <c r="L263" s="4" t="s">
        <v>827</v>
      </c>
      <c r="O263" s="4" t="s">
        <v>1040</v>
      </c>
      <c r="P263" s="4">
        <v>588373424</v>
      </c>
      <c r="R263" s="4">
        <v>7500</v>
      </c>
      <c r="S263">
        <f t="shared" si="8"/>
        <v>8250</v>
      </c>
      <c r="T263" s="7">
        <v>-96</v>
      </c>
      <c r="U263">
        <f t="shared" si="9"/>
        <v>330</v>
      </c>
      <c r="V263" s="15">
        <v>0.61499999999999999</v>
      </c>
      <c r="W263" s="16">
        <v>0.6</v>
      </c>
      <c r="BB263" s="20" t="str">
        <f>HYPERLINK("https://view.gem360.in/gem360/0707230916-HN-7008/gem360-0707230916-HN-7008.html","https://view.gem360.in/gem360/0707230916-HN-7008/gem360-0707230916-HN-7008.html")</f>
        <v>https://view.gem360.in/gem360/0707230916-HN-7008/gem360-0707230916-HN-7008.html</v>
      </c>
    </row>
    <row r="264" spans="1:54" ht="16" x14ac:dyDescent="0.2">
      <c r="A264" s="4" t="s">
        <v>324</v>
      </c>
      <c r="B264" s="7" t="s">
        <v>536</v>
      </c>
      <c r="C264" s="4" t="s">
        <v>560</v>
      </c>
      <c r="D264" s="8">
        <v>1.08</v>
      </c>
      <c r="E264" s="9" t="s">
        <v>536</v>
      </c>
      <c r="F264" s="4" t="s">
        <v>544</v>
      </c>
      <c r="G264" s="4" t="s">
        <v>539</v>
      </c>
      <c r="H264" s="4" t="s">
        <v>540</v>
      </c>
      <c r="I264" s="4" t="s">
        <v>551</v>
      </c>
      <c r="J264" s="4" t="s">
        <v>541</v>
      </c>
      <c r="L264" s="4" t="s">
        <v>828</v>
      </c>
      <c r="O264" s="4" t="s">
        <v>1040</v>
      </c>
      <c r="P264" s="4">
        <v>573396378</v>
      </c>
      <c r="R264" s="4">
        <v>7000</v>
      </c>
      <c r="S264">
        <f t="shared" si="8"/>
        <v>7560.0000000000009</v>
      </c>
      <c r="T264" s="7">
        <v>-96</v>
      </c>
      <c r="U264">
        <f t="shared" si="9"/>
        <v>302.40000000000003</v>
      </c>
      <c r="V264" s="15">
        <v>0.57199999999999995</v>
      </c>
      <c r="W264" s="16">
        <v>0.59</v>
      </c>
      <c r="BB264" s="20" t="str">
        <f>HYPERLINK("https://view.gem360.in/gem360/0604230846-HN-152-22/gem360-0604230846-HN-152-22.html","https://view.gem360.in/gem360/0604230846-HN-152-22/gem360-0604230846-HN-152-22.html")</f>
        <v>https://view.gem360.in/gem360/0604230846-HN-152-22/gem360-0604230846-HN-152-22.html</v>
      </c>
    </row>
    <row r="265" spans="1:54" ht="16" x14ac:dyDescent="0.2">
      <c r="A265" s="4" t="s">
        <v>325</v>
      </c>
      <c r="B265" s="7" t="s">
        <v>536</v>
      </c>
      <c r="C265" s="4" t="s">
        <v>560</v>
      </c>
      <c r="D265" s="8">
        <v>1.06</v>
      </c>
      <c r="E265" s="9" t="s">
        <v>548</v>
      </c>
      <c r="F265" s="4" t="s">
        <v>547</v>
      </c>
      <c r="G265" s="4" t="s">
        <v>539</v>
      </c>
      <c r="H265" s="4" t="s">
        <v>540</v>
      </c>
      <c r="I265" s="4" t="s">
        <v>540</v>
      </c>
      <c r="J265" s="4" t="s">
        <v>541</v>
      </c>
      <c r="L265" s="4" t="s">
        <v>829</v>
      </c>
      <c r="O265" s="4" t="s">
        <v>1040</v>
      </c>
      <c r="P265" s="4">
        <v>588373425</v>
      </c>
      <c r="R265" s="4">
        <v>8700</v>
      </c>
      <c r="S265">
        <f t="shared" si="8"/>
        <v>9222</v>
      </c>
      <c r="T265" s="7">
        <v>-96</v>
      </c>
      <c r="U265">
        <f t="shared" si="9"/>
        <v>368.88</v>
      </c>
      <c r="V265" s="15">
        <v>0.59599999999999997</v>
      </c>
      <c r="W265" s="16">
        <v>0.6</v>
      </c>
      <c r="BB265" s="20" t="str">
        <f>HYPERLINK("https://view.gem360.in/gem360/0707230920-HN-7009/gem360-0707230920-HN-7009.html","https://view.gem360.in/gem360/0707230920-HN-7009/gem360-0707230920-HN-7009.html")</f>
        <v>https://view.gem360.in/gem360/0707230920-HN-7009/gem360-0707230920-HN-7009.html</v>
      </c>
    </row>
    <row r="266" spans="1:54" ht="16" x14ac:dyDescent="0.2">
      <c r="A266" s="4" t="s">
        <v>326</v>
      </c>
      <c r="B266" s="7" t="s">
        <v>536</v>
      </c>
      <c r="C266" s="4" t="s">
        <v>560</v>
      </c>
      <c r="D266" s="8">
        <v>1.06</v>
      </c>
      <c r="E266" s="9" t="s">
        <v>546</v>
      </c>
      <c r="F266" s="4" t="s">
        <v>547</v>
      </c>
      <c r="G266" s="4" t="s">
        <v>539</v>
      </c>
      <c r="H266" s="4" t="s">
        <v>540</v>
      </c>
      <c r="I266" s="4" t="s">
        <v>540</v>
      </c>
      <c r="J266" s="4" t="s">
        <v>541</v>
      </c>
      <c r="L266" s="4" t="s">
        <v>830</v>
      </c>
      <c r="O266" s="4" t="s">
        <v>1040</v>
      </c>
      <c r="P266" s="4">
        <v>588377516</v>
      </c>
      <c r="R266" s="4">
        <v>8000</v>
      </c>
      <c r="S266">
        <f t="shared" si="8"/>
        <v>8480</v>
      </c>
      <c r="T266" s="7">
        <v>-96</v>
      </c>
      <c r="U266">
        <f t="shared" si="9"/>
        <v>339.20000000000005</v>
      </c>
      <c r="V266" s="15">
        <v>0.59399999999999997</v>
      </c>
      <c r="W266" s="16">
        <v>0.59</v>
      </c>
      <c r="BB266" s="20" t="str">
        <f>HYPERLINK("https://view.gem360.in/gem360/1107231033-HN-7017/gem360-1107231033-HN-7017.html","https://view.gem360.in/gem360/1107231033-HN-7017/gem360-1107231033-HN-7017.html")</f>
        <v>https://view.gem360.in/gem360/1107231033-HN-7017/gem360-1107231033-HN-7017.html</v>
      </c>
    </row>
    <row r="267" spans="1:54" ht="16" x14ac:dyDescent="0.2">
      <c r="A267" s="4" t="s">
        <v>327</v>
      </c>
      <c r="B267" s="7" t="s">
        <v>536</v>
      </c>
      <c r="C267" s="4" t="s">
        <v>560</v>
      </c>
      <c r="D267" s="8">
        <v>1.03</v>
      </c>
      <c r="E267" s="9" t="s">
        <v>536</v>
      </c>
      <c r="F267" s="4" t="s">
        <v>544</v>
      </c>
      <c r="G267" s="4" t="s">
        <v>539</v>
      </c>
      <c r="H267" s="4" t="s">
        <v>540</v>
      </c>
      <c r="I267" s="4" t="s">
        <v>540</v>
      </c>
      <c r="J267" s="4" t="s">
        <v>541</v>
      </c>
      <c r="L267" s="4" t="s">
        <v>831</v>
      </c>
      <c r="O267" s="4" t="s">
        <v>1040</v>
      </c>
      <c r="P267" s="4">
        <v>571307673</v>
      </c>
      <c r="R267" s="4">
        <v>7000</v>
      </c>
      <c r="S267">
        <f t="shared" si="8"/>
        <v>7210</v>
      </c>
      <c r="T267" s="7">
        <v>-96</v>
      </c>
      <c r="U267">
        <f t="shared" si="9"/>
        <v>288.40000000000003</v>
      </c>
      <c r="V267" s="15">
        <v>0.58799999999999997</v>
      </c>
      <c r="W267" s="16">
        <v>0.59</v>
      </c>
      <c r="BB267" s="20" t="str">
        <f>HYPERLINK("https://v360.in/diamondview.aspx?cid=preet&amp;d=HN-150-2","https://v360.in/diamondview.aspx?cid=preet&amp;d=HN-150-2")</f>
        <v>https://v360.in/diamondview.aspx?cid=preet&amp;d=HN-150-2</v>
      </c>
    </row>
    <row r="268" spans="1:54" ht="16" x14ac:dyDescent="0.2">
      <c r="A268" s="4" t="s">
        <v>328</v>
      </c>
      <c r="B268" s="7" t="s">
        <v>536</v>
      </c>
      <c r="C268" s="4" t="s">
        <v>560</v>
      </c>
      <c r="D268" s="8">
        <v>1.02</v>
      </c>
      <c r="E268" s="9" t="s">
        <v>548</v>
      </c>
      <c r="F268" s="4" t="s">
        <v>544</v>
      </c>
      <c r="G268" s="4" t="s">
        <v>539</v>
      </c>
      <c r="H268" s="4" t="s">
        <v>540</v>
      </c>
      <c r="I268" s="4" t="s">
        <v>540</v>
      </c>
      <c r="J268" s="4" t="s">
        <v>541</v>
      </c>
      <c r="L268" s="4" t="s">
        <v>832</v>
      </c>
      <c r="O268" s="4" t="s">
        <v>1040</v>
      </c>
      <c r="P268" s="4">
        <v>588335181</v>
      </c>
      <c r="R268" s="4">
        <v>8000</v>
      </c>
      <c r="S268">
        <f t="shared" si="8"/>
        <v>8160</v>
      </c>
      <c r="T268" s="7">
        <v>-96</v>
      </c>
      <c r="U268">
        <f t="shared" si="9"/>
        <v>326.39999999999998</v>
      </c>
      <c r="V268" s="15">
        <v>0.57099999999999995</v>
      </c>
      <c r="W268" s="16">
        <v>0.63</v>
      </c>
      <c r="BB268" s="20" t="str">
        <f>HYPERLINK("https://view.gem360.in/gem360/0407230512-HN-3/gem360-0407230512-HN-3.html","https://view.gem360.in/gem360/0407230512-HN-3/gem360-0407230512-HN-3.html")</f>
        <v>https://view.gem360.in/gem360/0407230512-HN-3/gem360-0407230512-HN-3.html</v>
      </c>
    </row>
    <row r="269" spans="1:54" ht="16" x14ac:dyDescent="0.2">
      <c r="A269" s="4" t="s">
        <v>329</v>
      </c>
      <c r="B269" s="7" t="s">
        <v>536</v>
      </c>
      <c r="C269" s="4" t="s">
        <v>560</v>
      </c>
      <c r="D269" s="8">
        <v>1.01</v>
      </c>
      <c r="E269" s="9" t="s">
        <v>548</v>
      </c>
      <c r="F269" s="4" t="s">
        <v>547</v>
      </c>
      <c r="G269" s="4" t="s">
        <v>539</v>
      </c>
      <c r="H269" s="4" t="s">
        <v>540</v>
      </c>
      <c r="I269" s="4" t="s">
        <v>540</v>
      </c>
      <c r="J269" s="4" t="s">
        <v>541</v>
      </c>
      <c r="L269" s="4" t="s">
        <v>833</v>
      </c>
      <c r="O269" s="4" t="s">
        <v>1040</v>
      </c>
      <c r="P269" s="4">
        <v>585303887</v>
      </c>
      <c r="R269" s="4">
        <v>8700</v>
      </c>
      <c r="S269">
        <f t="shared" si="8"/>
        <v>8787</v>
      </c>
      <c r="T269" s="7">
        <v>-96</v>
      </c>
      <c r="U269">
        <f t="shared" si="9"/>
        <v>351.48</v>
      </c>
      <c r="V269" s="15">
        <v>0.63500000000000001</v>
      </c>
      <c r="W269" s="16">
        <v>0.61</v>
      </c>
      <c r="BB269" s="20" t="str">
        <f>HYPERLINK("https://view.gem360.in/gem360/1206230530-HN-759/gem360-1206230530-HN-759.html","https://view.gem360.in/gem360/1206230530-HN-759/gem360-1206230530-HN-759.html")</f>
        <v>https://view.gem360.in/gem360/1206230530-HN-759/gem360-1206230530-HN-759.html</v>
      </c>
    </row>
    <row r="270" spans="1:54" ht="16" x14ac:dyDescent="0.2">
      <c r="A270" s="4" t="s">
        <v>330</v>
      </c>
      <c r="B270" s="7" t="s">
        <v>536</v>
      </c>
      <c r="C270" s="4" t="s">
        <v>560</v>
      </c>
      <c r="D270" s="8">
        <v>1.01</v>
      </c>
      <c r="E270" s="9" t="s">
        <v>536</v>
      </c>
      <c r="F270" s="4" t="s">
        <v>538</v>
      </c>
      <c r="G270" s="4" t="s">
        <v>539</v>
      </c>
      <c r="H270" s="4" t="s">
        <v>540</v>
      </c>
      <c r="I270" s="4" t="s">
        <v>540</v>
      </c>
      <c r="J270" s="4" t="s">
        <v>541</v>
      </c>
      <c r="L270" s="4" t="s">
        <v>834</v>
      </c>
      <c r="O270" s="4" t="s">
        <v>1040</v>
      </c>
      <c r="P270" s="4">
        <v>566393793</v>
      </c>
      <c r="R270" s="4">
        <v>6600</v>
      </c>
      <c r="S270">
        <f t="shared" si="8"/>
        <v>6666</v>
      </c>
      <c r="T270" s="7">
        <v>-96</v>
      </c>
      <c r="U270">
        <f t="shared" si="9"/>
        <v>266.64</v>
      </c>
      <c r="V270" s="15">
        <v>0.61299999999999999</v>
      </c>
      <c r="W270" s="15">
        <v>0.59499999999999997</v>
      </c>
      <c r="BB270" s="20" t="str">
        <f>HYPERLINK("https://v360.in/diamondview.aspx?cid=preet&amp;d=HN-135-38","https://v360.in/diamondview.aspx?cid=preet&amp;d=HN-135-38")</f>
        <v>https://v360.in/diamondview.aspx?cid=preet&amp;d=HN-135-38</v>
      </c>
    </row>
    <row r="271" spans="1:54" ht="16" x14ac:dyDescent="0.2">
      <c r="A271" s="4" t="s">
        <v>331</v>
      </c>
      <c r="B271" s="7" t="s">
        <v>536</v>
      </c>
      <c r="C271" s="4" t="s">
        <v>560</v>
      </c>
      <c r="D271" s="8">
        <v>1.01</v>
      </c>
      <c r="E271" s="9" t="s">
        <v>536</v>
      </c>
      <c r="F271" s="4" t="s">
        <v>544</v>
      </c>
      <c r="G271" s="4" t="s">
        <v>539</v>
      </c>
      <c r="H271" s="4" t="s">
        <v>540</v>
      </c>
      <c r="I271" s="4" t="s">
        <v>540</v>
      </c>
      <c r="J271" s="4" t="s">
        <v>541</v>
      </c>
      <c r="L271" s="4" t="s">
        <v>835</v>
      </c>
      <c r="O271" s="4" t="s">
        <v>1040</v>
      </c>
      <c r="P271" s="4">
        <v>573396357</v>
      </c>
      <c r="R271" s="4">
        <v>7000</v>
      </c>
      <c r="S271">
        <f t="shared" si="8"/>
        <v>7070</v>
      </c>
      <c r="T271" s="7">
        <v>-96</v>
      </c>
      <c r="U271">
        <f t="shared" si="9"/>
        <v>282.8</v>
      </c>
      <c r="V271" s="15">
        <v>0.58599999999999997</v>
      </c>
      <c r="W271" s="16">
        <v>0.62</v>
      </c>
      <c r="BB271" s="20" t="str">
        <f>HYPERLINK("https://view.gem360.in/gem360/0504230635-HN-152-21/gem360-0504230635-HN-152-21.html","https://view.gem360.in/gem360/0504230635-HN-152-21/gem360-0504230635-HN-152-21.html")</f>
        <v>https://view.gem360.in/gem360/0504230635-HN-152-21/gem360-0504230635-HN-152-21.html</v>
      </c>
    </row>
    <row r="272" spans="1:54" ht="16" x14ac:dyDescent="0.2">
      <c r="A272" s="4" t="s">
        <v>332</v>
      </c>
      <c r="B272" s="7" t="s">
        <v>536</v>
      </c>
      <c r="C272" s="4" t="s">
        <v>560</v>
      </c>
      <c r="D272" s="8">
        <v>1</v>
      </c>
      <c r="E272" s="9" t="s">
        <v>548</v>
      </c>
      <c r="F272" s="4" t="s">
        <v>547</v>
      </c>
      <c r="G272" s="4" t="s">
        <v>539</v>
      </c>
      <c r="H272" s="4" t="s">
        <v>540</v>
      </c>
      <c r="I272" s="4" t="s">
        <v>540</v>
      </c>
      <c r="J272" s="4" t="s">
        <v>541</v>
      </c>
      <c r="L272" s="4" t="s">
        <v>836</v>
      </c>
      <c r="O272" s="4" t="s">
        <v>1040</v>
      </c>
      <c r="P272" s="4">
        <v>588335179</v>
      </c>
      <c r="R272" s="4">
        <v>8700</v>
      </c>
      <c r="S272">
        <f t="shared" si="8"/>
        <v>8700</v>
      </c>
      <c r="T272" s="7">
        <v>-96</v>
      </c>
      <c r="U272">
        <f t="shared" si="9"/>
        <v>348</v>
      </c>
      <c r="V272" s="15">
        <v>0.59499999999999997</v>
      </c>
      <c r="W272" s="16">
        <v>0.66</v>
      </c>
      <c r="BB272" s="20" t="str">
        <f>HYPERLINK("https://view.gem360.in/gem360/0407230520-HN-1/gem360-0407230520-HN-1.html","https://view.gem360.in/gem360/0407230520-HN-1/gem360-0407230520-HN-1.html")</f>
        <v>https://view.gem360.in/gem360/0407230520-HN-1/gem360-0407230520-HN-1.html</v>
      </c>
    </row>
    <row r="273" spans="1:54" ht="16" x14ac:dyDescent="0.2">
      <c r="A273" s="4" t="s">
        <v>333</v>
      </c>
      <c r="B273" s="7" t="s">
        <v>536</v>
      </c>
      <c r="C273" s="4" t="s">
        <v>560</v>
      </c>
      <c r="D273" s="8">
        <v>1</v>
      </c>
      <c r="E273" s="9" t="s">
        <v>548</v>
      </c>
      <c r="F273" s="4" t="s">
        <v>538</v>
      </c>
      <c r="G273" s="4" t="s">
        <v>539</v>
      </c>
      <c r="H273" s="4" t="s">
        <v>540</v>
      </c>
      <c r="I273" s="4" t="s">
        <v>540</v>
      </c>
      <c r="J273" s="4" t="s">
        <v>541</v>
      </c>
      <c r="L273" s="4" t="s">
        <v>837</v>
      </c>
      <c r="O273" s="4" t="s">
        <v>1040</v>
      </c>
      <c r="P273" s="4">
        <v>588335180</v>
      </c>
      <c r="R273" s="4">
        <v>7200</v>
      </c>
      <c r="S273">
        <f t="shared" si="8"/>
        <v>7200</v>
      </c>
      <c r="T273" s="7">
        <v>-96</v>
      </c>
      <c r="U273">
        <f t="shared" si="9"/>
        <v>288</v>
      </c>
      <c r="V273" s="15">
        <v>0.58899999999999997</v>
      </c>
      <c r="W273" s="16">
        <v>0.67</v>
      </c>
      <c r="BB273" s="20" t="str">
        <f>HYPERLINK("https://view.gem360.in/gem360/0407230517-HN-2/gem360-0407230517-HN-2.html","https://view.gem360.in/gem360/0407230517-HN-2/gem360-0407230517-HN-2.html")</f>
        <v>https://view.gem360.in/gem360/0407230517-HN-2/gem360-0407230517-HN-2.html</v>
      </c>
    </row>
    <row r="274" spans="1:54" ht="16" x14ac:dyDescent="0.2">
      <c r="A274" s="4" t="s">
        <v>334</v>
      </c>
      <c r="B274" s="7" t="s">
        <v>536</v>
      </c>
      <c r="C274" s="4" t="s">
        <v>560</v>
      </c>
      <c r="D274" s="8">
        <v>1</v>
      </c>
      <c r="E274" s="9" t="s">
        <v>546</v>
      </c>
      <c r="F274" s="4" t="s">
        <v>547</v>
      </c>
      <c r="G274" s="4" t="s">
        <v>539</v>
      </c>
      <c r="H274" s="4" t="s">
        <v>540</v>
      </c>
      <c r="I274" s="4" t="s">
        <v>540</v>
      </c>
      <c r="J274" s="4" t="s">
        <v>541</v>
      </c>
      <c r="L274" s="4" t="s">
        <v>838</v>
      </c>
      <c r="O274" s="4" t="s">
        <v>1040</v>
      </c>
      <c r="P274" s="4">
        <v>585303881</v>
      </c>
      <c r="R274" s="4">
        <v>8000</v>
      </c>
      <c r="S274">
        <f t="shared" si="8"/>
        <v>8000</v>
      </c>
      <c r="T274" s="7">
        <v>-96</v>
      </c>
      <c r="U274">
        <f t="shared" si="9"/>
        <v>320</v>
      </c>
      <c r="V274" s="15">
        <v>0.60799999999999998</v>
      </c>
      <c r="W274" s="16">
        <v>0.64</v>
      </c>
      <c r="BB274" s="20" t="str">
        <f>HYPERLINK("https://view.gem360.in/gem360/1206230534-HN-757/gem360-1206230534-HN-757.html","https://view.gem360.in/gem360/1206230534-HN-757/gem360-1206230534-HN-757.html")</f>
        <v>https://view.gem360.in/gem360/1206230534-HN-757/gem360-1206230534-HN-757.html</v>
      </c>
    </row>
    <row r="275" spans="1:54" ht="16" x14ac:dyDescent="0.2">
      <c r="A275" s="4" t="s">
        <v>335</v>
      </c>
      <c r="B275" s="7" t="s">
        <v>536</v>
      </c>
      <c r="C275" s="4" t="s">
        <v>561</v>
      </c>
      <c r="D275" s="8">
        <v>3</v>
      </c>
      <c r="E275" s="9" t="s">
        <v>546</v>
      </c>
      <c r="F275" s="4" t="s">
        <v>538</v>
      </c>
      <c r="G275" s="4" t="s">
        <v>539</v>
      </c>
      <c r="H275" s="4" t="s">
        <v>540</v>
      </c>
      <c r="I275" s="4" t="s">
        <v>540</v>
      </c>
      <c r="J275" s="4" t="s">
        <v>541</v>
      </c>
      <c r="L275" s="4" t="s">
        <v>839</v>
      </c>
      <c r="O275" s="4" t="s">
        <v>1040</v>
      </c>
      <c r="P275" s="4">
        <v>587308077</v>
      </c>
      <c r="R275" s="4">
        <v>22500</v>
      </c>
      <c r="S275">
        <f t="shared" si="8"/>
        <v>67500</v>
      </c>
      <c r="T275" s="7">
        <v>-96</v>
      </c>
      <c r="U275">
        <f t="shared" si="9"/>
        <v>2700</v>
      </c>
      <c r="V275" s="16">
        <v>0.59</v>
      </c>
      <c r="W275" s="16">
        <v>0.59</v>
      </c>
      <c r="BB275" s="20" t="str">
        <f>HYPERLINK("https://view.gem360.in/gem360/2906230730-HN-771/gem360-2906230730-HN-771.html","https://view.gem360.in/gem360/2906230730-HN-771/gem360-2906230730-HN-771.html")</f>
        <v>https://view.gem360.in/gem360/2906230730-HN-771/gem360-2906230730-HN-771.html</v>
      </c>
    </row>
    <row r="276" spans="1:54" ht="16" x14ac:dyDescent="0.2">
      <c r="A276" s="4" t="s">
        <v>336</v>
      </c>
      <c r="B276" s="7" t="s">
        <v>536</v>
      </c>
      <c r="C276" s="4" t="s">
        <v>561</v>
      </c>
      <c r="D276" s="8">
        <v>2.0099999999999998</v>
      </c>
      <c r="E276" s="9" t="s">
        <v>546</v>
      </c>
      <c r="F276" s="4" t="s">
        <v>544</v>
      </c>
      <c r="G276" s="4" t="s">
        <v>539</v>
      </c>
      <c r="H276" s="4" t="s">
        <v>540</v>
      </c>
      <c r="I276" s="4" t="s">
        <v>540</v>
      </c>
      <c r="J276" s="4" t="s">
        <v>541</v>
      </c>
      <c r="L276" s="4" t="s">
        <v>840</v>
      </c>
      <c r="O276" s="4" t="s">
        <v>1040</v>
      </c>
      <c r="P276" s="4">
        <v>561278582</v>
      </c>
      <c r="R276" s="4">
        <v>17000</v>
      </c>
      <c r="S276">
        <f t="shared" si="8"/>
        <v>34170</v>
      </c>
      <c r="T276" s="7">
        <v>-96</v>
      </c>
      <c r="U276">
        <f t="shared" si="9"/>
        <v>1366.8</v>
      </c>
      <c r="V276" s="15">
        <v>0.58699999999999997</v>
      </c>
      <c r="W276" s="4">
        <v>62</v>
      </c>
      <c r="BB276" s="20" t="str">
        <f>HYPERLINK("https://v360.in/diamondview.aspx?cid=preet&amp;d=HN-130-1","https://v360.in/diamondview.aspx?cid=preet&amp;d=HN-130-1")</f>
        <v>https://v360.in/diamondview.aspx?cid=preet&amp;d=HN-130-1</v>
      </c>
    </row>
    <row r="277" spans="1:54" ht="16" x14ac:dyDescent="0.2">
      <c r="A277" s="4" t="s">
        <v>337</v>
      </c>
      <c r="B277" s="7" t="s">
        <v>536</v>
      </c>
      <c r="C277" s="4" t="s">
        <v>561</v>
      </c>
      <c r="D277" s="8">
        <v>1.9</v>
      </c>
      <c r="E277" s="9" t="s">
        <v>546</v>
      </c>
      <c r="F277" s="4" t="s">
        <v>538</v>
      </c>
      <c r="G277" s="4" t="s">
        <v>539</v>
      </c>
      <c r="H277" s="4" t="s">
        <v>540</v>
      </c>
      <c r="I277" s="4" t="s">
        <v>540</v>
      </c>
      <c r="J277" s="4" t="s">
        <v>541</v>
      </c>
      <c r="L277" s="4" t="s">
        <v>841</v>
      </c>
      <c r="O277" s="4" t="s">
        <v>1040</v>
      </c>
      <c r="P277" s="4">
        <v>573311726</v>
      </c>
      <c r="R277" s="4">
        <v>10900</v>
      </c>
      <c r="S277">
        <f t="shared" si="8"/>
        <v>20710</v>
      </c>
      <c r="T277" s="7">
        <v>-96</v>
      </c>
      <c r="U277">
        <f t="shared" si="9"/>
        <v>828.4</v>
      </c>
      <c r="V277" s="15">
        <v>0.63500000000000001</v>
      </c>
      <c r="W277" s="15">
        <v>0.60499999999999998</v>
      </c>
      <c r="BB277" s="20" t="str">
        <f>HYPERLINK("https://view.gem360.in/gem360/0504230642-HN-152-2/gem360-0504230642-HN-152-2.html","https://view.gem360.in/gem360/0504230642-HN-152-2/gem360-0504230642-HN-152-2.html")</f>
        <v>https://view.gem360.in/gem360/0504230642-HN-152-2/gem360-0504230642-HN-152-2.html</v>
      </c>
    </row>
    <row r="278" spans="1:54" ht="16" x14ac:dyDescent="0.2">
      <c r="A278" s="4" t="s">
        <v>338</v>
      </c>
      <c r="B278" s="7" t="s">
        <v>536</v>
      </c>
      <c r="C278" s="4" t="s">
        <v>561</v>
      </c>
      <c r="D278" s="8">
        <v>1.81</v>
      </c>
      <c r="E278" s="9" t="s">
        <v>536</v>
      </c>
      <c r="F278" s="4" t="s">
        <v>547</v>
      </c>
      <c r="G278" s="4" t="s">
        <v>539</v>
      </c>
      <c r="H278" s="4" t="s">
        <v>540</v>
      </c>
      <c r="I278" s="4" t="s">
        <v>540</v>
      </c>
      <c r="J278" s="4" t="s">
        <v>541</v>
      </c>
      <c r="L278" s="4" t="s">
        <v>842</v>
      </c>
      <c r="O278" s="4" t="s">
        <v>1040</v>
      </c>
      <c r="P278" s="4">
        <v>584379530</v>
      </c>
      <c r="R278" s="4">
        <v>11700</v>
      </c>
      <c r="S278">
        <f t="shared" si="8"/>
        <v>21177</v>
      </c>
      <c r="T278" s="7">
        <v>-96</v>
      </c>
      <c r="U278">
        <f t="shared" si="9"/>
        <v>847.08</v>
      </c>
      <c r="V278" s="15">
        <v>0.59099999999999997</v>
      </c>
      <c r="W278" s="16">
        <v>0.59</v>
      </c>
      <c r="BB278" s="20" t="str">
        <f>HYPERLINK("https://view.gem360.in/gem360/0706230542-HN-746/gem360-0706230542-HN-746.html","https://view.gem360.in/gem360/0706230542-HN-746/gem360-0706230542-HN-746.html")</f>
        <v>https://view.gem360.in/gem360/0706230542-HN-746/gem360-0706230542-HN-746.html</v>
      </c>
    </row>
    <row r="279" spans="1:54" ht="16" x14ac:dyDescent="0.2">
      <c r="A279" s="4" t="s">
        <v>339</v>
      </c>
      <c r="B279" s="7" t="s">
        <v>536</v>
      </c>
      <c r="C279" s="4" t="s">
        <v>561</v>
      </c>
      <c r="D279" s="8">
        <v>1.61</v>
      </c>
      <c r="E279" s="9" t="s">
        <v>536</v>
      </c>
      <c r="F279" s="4" t="s">
        <v>544</v>
      </c>
      <c r="G279" s="4" t="s">
        <v>539</v>
      </c>
      <c r="H279" s="4" t="s">
        <v>540</v>
      </c>
      <c r="I279" s="4" t="s">
        <v>540</v>
      </c>
      <c r="J279" s="4" t="s">
        <v>541</v>
      </c>
      <c r="L279" s="4" t="s">
        <v>843</v>
      </c>
      <c r="O279" s="4" t="s">
        <v>1040</v>
      </c>
      <c r="P279" s="4">
        <v>585303886</v>
      </c>
      <c r="R279" s="4">
        <v>11200</v>
      </c>
      <c r="S279">
        <f t="shared" si="8"/>
        <v>18032</v>
      </c>
      <c r="T279" s="7">
        <v>-96</v>
      </c>
      <c r="U279">
        <f t="shared" si="9"/>
        <v>721.28000000000009</v>
      </c>
      <c r="V279" s="15">
        <v>0.59799999999999998</v>
      </c>
      <c r="W279" s="16">
        <v>0.66</v>
      </c>
      <c r="BB279" s="20" t="str">
        <f>HYPERLINK("https://view.gem360.in/gem360/1206230617-HN-760/gem360-1206230617-HN-760.html","https://view.gem360.in/gem360/1206230617-HN-760/gem360-1206230617-HN-760.html")</f>
        <v>https://view.gem360.in/gem360/1206230617-HN-760/gem360-1206230617-HN-760.html</v>
      </c>
    </row>
    <row r="280" spans="1:54" ht="16" x14ac:dyDescent="0.2">
      <c r="A280" s="4" t="s">
        <v>340</v>
      </c>
      <c r="B280" s="7" t="s">
        <v>536</v>
      </c>
      <c r="C280" s="4" t="s">
        <v>561</v>
      </c>
      <c r="D280" s="8">
        <v>1.4</v>
      </c>
      <c r="E280" s="9" t="s">
        <v>546</v>
      </c>
      <c r="F280" s="4" t="s">
        <v>549</v>
      </c>
      <c r="G280" s="4" t="s">
        <v>539</v>
      </c>
      <c r="H280" s="4" t="s">
        <v>540</v>
      </c>
      <c r="I280" s="4" t="s">
        <v>540</v>
      </c>
      <c r="J280" s="4" t="s">
        <v>541</v>
      </c>
      <c r="L280" s="4" t="s">
        <v>844</v>
      </c>
      <c r="O280" s="4" t="s">
        <v>1040</v>
      </c>
      <c r="P280" s="4">
        <v>559298598</v>
      </c>
      <c r="R280" s="4">
        <v>5300</v>
      </c>
      <c r="S280">
        <f t="shared" si="8"/>
        <v>7419.9999999999991</v>
      </c>
      <c r="T280" s="7">
        <v>-96</v>
      </c>
      <c r="U280">
        <f t="shared" si="9"/>
        <v>296.79999999999995</v>
      </c>
      <c r="V280" s="15">
        <v>0.625</v>
      </c>
      <c r="W280" s="4">
        <v>61</v>
      </c>
      <c r="BB280" s="20" t="str">
        <f>HYPERLINK("https://v360.in/diamondview.aspx?cid=preet&amp;d=HN-129-45","https://v360.in/diamondview.aspx?cid=preet&amp;d=HN-129-45")</f>
        <v>https://v360.in/diamondview.aspx?cid=preet&amp;d=HN-129-45</v>
      </c>
    </row>
    <row r="281" spans="1:54" ht="16" x14ac:dyDescent="0.2">
      <c r="A281" s="4" t="s">
        <v>341</v>
      </c>
      <c r="B281" s="7" t="s">
        <v>536</v>
      </c>
      <c r="C281" s="4" t="s">
        <v>561</v>
      </c>
      <c r="D281" s="8">
        <v>1.32</v>
      </c>
      <c r="E281" s="9" t="s">
        <v>548</v>
      </c>
      <c r="F281" s="4" t="s">
        <v>544</v>
      </c>
      <c r="G281" s="4" t="s">
        <v>539</v>
      </c>
      <c r="H281" s="4" t="s">
        <v>540</v>
      </c>
      <c r="I281" s="4" t="s">
        <v>540</v>
      </c>
      <c r="J281" s="4" t="s">
        <v>541</v>
      </c>
      <c r="L281" s="4" t="s">
        <v>845</v>
      </c>
      <c r="O281" s="4" t="s">
        <v>1040</v>
      </c>
      <c r="P281" s="4">
        <v>585303896</v>
      </c>
      <c r="R281" s="4">
        <v>8000</v>
      </c>
      <c r="S281">
        <f t="shared" si="8"/>
        <v>10560</v>
      </c>
      <c r="T281" s="7">
        <v>-96</v>
      </c>
      <c r="U281">
        <f t="shared" si="9"/>
        <v>422.40000000000003</v>
      </c>
      <c r="V281" s="15">
        <v>0.59899999999999998</v>
      </c>
      <c r="W281" s="16">
        <v>0.57999999999999996</v>
      </c>
      <c r="BB281" s="20" t="str">
        <f>HYPERLINK("https://view.gem360.in/gem360/1206230553-HN-766/gem360-1206230553-HN-766.html","https://view.gem360.in/gem360/1206230553-HN-766/gem360-1206230553-HN-766.html")</f>
        <v>https://view.gem360.in/gem360/1206230553-HN-766/gem360-1206230553-HN-766.html</v>
      </c>
    </row>
    <row r="282" spans="1:54" ht="16" x14ac:dyDescent="0.2">
      <c r="A282" s="4" t="s">
        <v>342</v>
      </c>
      <c r="B282" s="7" t="s">
        <v>536</v>
      </c>
      <c r="C282" s="4" t="s">
        <v>561</v>
      </c>
      <c r="D282" s="8">
        <v>1.32</v>
      </c>
      <c r="E282" s="9" t="s">
        <v>536</v>
      </c>
      <c r="F282" s="4" t="s">
        <v>547</v>
      </c>
      <c r="G282" s="4" t="s">
        <v>539</v>
      </c>
      <c r="H282" s="4" t="s">
        <v>540</v>
      </c>
      <c r="I282" s="4" t="s">
        <v>540</v>
      </c>
      <c r="J282" s="4" t="s">
        <v>541</v>
      </c>
      <c r="L282" s="4" t="s">
        <v>846</v>
      </c>
      <c r="O282" s="4" t="s">
        <v>1040</v>
      </c>
      <c r="P282" s="4">
        <v>588377521</v>
      </c>
      <c r="R282" s="4">
        <v>7300</v>
      </c>
      <c r="S282">
        <f t="shared" si="8"/>
        <v>9636</v>
      </c>
      <c r="T282" s="7">
        <v>-96</v>
      </c>
      <c r="U282">
        <f t="shared" si="9"/>
        <v>385.44</v>
      </c>
      <c r="V282" s="15">
        <v>0.57799999999999996</v>
      </c>
      <c r="W282" s="16">
        <v>0.57999999999999996</v>
      </c>
      <c r="BB282" s="20" t="str">
        <f>HYPERLINK("https://view.gem360.in/gem360/1107231049-HN-7014/gem360-1107231049-HN-7014.html","https://view.gem360.in/gem360/1107231049-HN-7014/gem360-1107231049-HN-7014.html")</f>
        <v>https://view.gem360.in/gem360/1107231049-HN-7014/gem360-1107231049-HN-7014.html</v>
      </c>
    </row>
    <row r="283" spans="1:54" ht="16" x14ac:dyDescent="0.2">
      <c r="A283" s="4" t="s">
        <v>343</v>
      </c>
      <c r="B283" s="7" t="s">
        <v>536</v>
      </c>
      <c r="C283" s="4" t="s">
        <v>561</v>
      </c>
      <c r="D283" s="8">
        <v>1.31</v>
      </c>
      <c r="E283" s="9" t="s">
        <v>548</v>
      </c>
      <c r="F283" s="4" t="s">
        <v>538</v>
      </c>
      <c r="G283" s="4" t="s">
        <v>539</v>
      </c>
      <c r="H283" s="4" t="s">
        <v>540</v>
      </c>
      <c r="I283" s="4" t="s">
        <v>540</v>
      </c>
      <c r="J283" s="4" t="s">
        <v>541</v>
      </c>
      <c r="L283" s="4" t="s">
        <v>847</v>
      </c>
      <c r="O283" s="4" t="s">
        <v>1040</v>
      </c>
      <c r="P283" s="4">
        <v>561278597</v>
      </c>
      <c r="R283" s="4">
        <v>7200</v>
      </c>
      <c r="S283">
        <f t="shared" si="8"/>
        <v>9432</v>
      </c>
      <c r="T283" s="7">
        <v>-96</v>
      </c>
      <c r="U283">
        <f t="shared" si="9"/>
        <v>377.28000000000003</v>
      </c>
      <c r="V283" s="15">
        <v>0.629</v>
      </c>
      <c r="W283" s="4">
        <v>61</v>
      </c>
      <c r="BB283" s="20" t="str">
        <f>HYPERLINK("https://v360.in/diamondview.aspx?cid=preet&amp;d=HN-130-7","https://v360.in/diamondview.aspx?cid=preet&amp;d=HN-130-7")</f>
        <v>https://v360.in/diamondview.aspx?cid=preet&amp;d=HN-130-7</v>
      </c>
    </row>
    <row r="284" spans="1:54" ht="16" x14ac:dyDescent="0.2">
      <c r="A284" s="4" t="s">
        <v>344</v>
      </c>
      <c r="B284" s="7" t="s">
        <v>536</v>
      </c>
      <c r="C284" s="4" t="s">
        <v>561</v>
      </c>
      <c r="D284" s="8">
        <v>1.31</v>
      </c>
      <c r="E284" s="9" t="s">
        <v>542</v>
      </c>
      <c r="F284" s="4" t="s">
        <v>544</v>
      </c>
      <c r="G284" s="4" t="s">
        <v>539</v>
      </c>
      <c r="H284" s="4" t="s">
        <v>540</v>
      </c>
      <c r="I284" s="4" t="s">
        <v>540</v>
      </c>
      <c r="J284" s="4" t="s">
        <v>541</v>
      </c>
      <c r="L284" s="4" t="s">
        <v>848</v>
      </c>
      <c r="O284" s="4" t="s">
        <v>1040</v>
      </c>
      <c r="P284" s="4">
        <v>573396349</v>
      </c>
      <c r="R284" s="4">
        <v>6000</v>
      </c>
      <c r="S284">
        <f t="shared" si="8"/>
        <v>7860</v>
      </c>
      <c r="T284" s="7">
        <v>-96</v>
      </c>
      <c r="U284">
        <f t="shared" si="9"/>
        <v>314.40000000000003</v>
      </c>
      <c r="V284" s="16">
        <v>0.63</v>
      </c>
      <c r="W284" s="15">
        <v>0.60499999999999998</v>
      </c>
      <c r="BB284" s="20" t="str">
        <f>HYPERLINK("https://view.gem360.in/gem360/0604230840-HN-152-6/gem360-0604230840-HN-152-6.html","https://view.gem360.in/gem360/0604230840-HN-152-6/gem360-0604230840-HN-152-6.html")</f>
        <v>https://view.gem360.in/gem360/0604230840-HN-152-6/gem360-0604230840-HN-152-6.html</v>
      </c>
    </row>
    <row r="285" spans="1:54" ht="16" x14ac:dyDescent="0.2">
      <c r="A285" s="4" t="s">
        <v>345</v>
      </c>
      <c r="B285" s="7" t="s">
        <v>536</v>
      </c>
      <c r="C285" s="4" t="s">
        <v>561</v>
      </c>
      <c r="D285" s="8">
        <v>1.3</v>
      </c>
      <c r="E285" s="9" t="s">
        <v>548</v>
      </c>
      <c r="F285" s="4" t="s">
        <v>538</v>
      </c>
      <c r="G285" s="4" t="s">
        <v>539</v>
      </c>
      <c r="H285" s="4" t="s">
        <v>540</v>
      </c>
      <c r="I285" s="4" t="s">
        <v>540</v>
      </c>
      <c r="J285" s="4" t="s">
        <v>541</v>
      </c>
      <c r="L285" s="4" t="s">
        <v>849</v>
      </c>
      <c r="O285" s="4" t="s">
        <v>1040</v>
      </c>
      <c r="P285" s="4">
        <v>561278580</v>
      </c>
      <c r="R285" s="4">
        <v>7200</v>
      </c>
      <c r="S285">
        <f t="shared" si="8"/>
        <v>9360</v>
      </c>
      <c r="T285" s="7">
        <v>-96</v>
      </c>
      <c r="U285">
        <f t="shared" si="9"/>
        <v>374.40000000000003</v>
      </c>
      <c r="V285" s="15">
        <v>0.63500000000000001</v>
      </c>
      <c r="W285" s="4">
        <v>60</v>
      </c>
      <c r="BB285" s="20" t="str">
        <f>HYPERLINK("https://v360.in/diamondview.aspx?cid=preet&amp;d=HN-130-23","https://v360.in/diamondview.aspx?cid=preet&amp;d=HN-130-23")</f>
        <v>https://v360.in/diamondview.aspx?cid=preet&amp;d=HN-130-23</v>
      </c>
    </row>
    <row r="286" spans="1:54" ht="16" x14ac:dyDescent="0.2">
      <c r="A286" s="4" t="s">
        <v>346</v>
      </c>
      <c r="B286" s="7" t="s">
        <v>536</v>
      </c>
      <c r="C286" s="4" t="s">
        <v>561</v>
      </c>
      <c r="D286" s="8">
        <v>1.24</v>
      </c>
      <c r="E286" s="9" t="s">
        <v>546</v>
      </c>
      <c r="F286" s="4" t="s">
        <v>544</v>
      </c>
      <c r="G286" s="4" t="s">
        <v>539</v>
      </c>
      <c r="H286" s="4" t="s">
        <v>540</v>
      </c>
      <c r="I286" s="4" t="s">
        <v>540</v>
      </c>
      <c r="J286" s="4" t="s">
        <v>541</v>
      </c>
      <c r="L286" s="4" t="s">
        <v>850</v>
      </c>
      <c r="O286" s="4" t="s">
        <v>1040</v>
      </c>
      <c r="P286" s="4">
        <v>588377520</v>
      </c>
      <c r="R286" s="4">
        <v>7500</v>
      </c>
      <c r="S286">
        <f t="shared" si="8"/>
        <v>9300</v>
      </c>
      <c r="T286" s="7">
        <v>-96</v>
      </c>
      <c r="U286">
        <f t="shared" si="9"/>
        <v>372</v>
      </c>
      <c r="V286" s="15">
        <v>0.58899999999999997</v>
      </c>
      <c r="W286" s="16">
        <v>0.56999999999999995</v>
      </c>
      <c r="BB286" s="20" t="str">
        <f>HYPERLINK("https://view.gem360.in/gem360/1107231045-HN-7015/gem360-1107231045-HN-7015.html","https://view.gem360.in/gem360/1107231045-HN-7015/gem360-1107231045-HN-7015.html")</f>
        <v>https://view.gem360.in/gem360/1107231045-HN-7015/gem360-1107231045-HN-7015.html</v>
      </c>
    </row>
    <row r="287" spans="1:54" ht="16" x14ac:dyDescent="0.2">
      <c r="A287" s="4" t="s">
        <v>347</v>
      </c>
      <c r="B287" s="7" t="s">
        <v>536</v>
      </c>
      <c r="C287" s="4" t="s">
        <v>561</v>
      </c>
      <c r="D287" s="8">
        <v>1.24</v>
      </c>
      <c r="E287" s="9" t="s">
        <v>536</v>
      </c>
      <c r="F287" s="4" t="s">
        <v>544</v>
      </c>
      <c r="G287" s="4" t="s">
        <v>539</v>
      </c>
      <c r="H287" s="4" t="s">
        <v>540</v>
      </c>
      <c r="I287" s="4" t="s">
        <v>540</v>
      </c>
      <c r="J287" s="4" t="s">
        <v>541</v>
      </c>
      <c r="L287" s="4" t="s">
        <v>851</v>
      </c>
      <c r="O287" s="4" t="s">
        <v>1040</v>
      </c>
      <c r="P287" s="4">
        <v>571307681</v>
      </c>
      <c r="R287" s="4">
        <v>7000</v>
      </c>
      <c r="S287">
        <f t="shared" si="8"/>
        <v>8680</v>
      </c>
      <c r="T287" s="7">
        <v>-96</v>
      </c>
      <c r="U287">
        <f t="shared" si="9"/>
        <v>347.2</v>
      </c>
      <c r="V287" s="15">
        <v>0.59699999999999998</v>
      </c>
      <c r="W287" s="15">
        <v>0.60499999999999998</v>
      </c>
      <c r="BB287" s="20" t="str">
        <f>HYPERLINK("https://v360.in/diamondview.aspx?cid=preet&amp;d=HN-150-10","https://v360.in/diamondview.aspx?cid=preet&amp;d=HN-150-10")</f>
        <v>https://v360.in/diamondview.aspx?cid=preet&amp;d=HN-150-10</v>
      </c>
    </row>
    <row r="288" spans="1:54" ht="16" x14ac:dyDescent="0.2">
      <c r="A288" s="4" t="s">
        <v>348</v>
      </c>
      <c r="B288" s="7" t="s">
        <v>536</v>
      </c>
      <c r="C288" s="4" t="s">
        <v>561</v>
      </c>
      <c r="D288" s="8">
        <v>1.23</v>
      </c>
      <c r="E288" s="9" t="s">
        <v>536</v>
      </c>
      <c r="F288" s="4" t="s">
        <v>538</v>
      </c>
      <c r="G288" s="4" t="s">
        <v>539</v>
      </c>
      <c r="H288" s="4" t="s">
        <v>540</v>
      </c>
      <c r="I288" s="4" t="s">
        <v>540</v>
      </c>
      <c r="J288" s="4" t="s">
        <v>541</v>
      </c>
      <c r="L288" s="4" t="s">
        <v>852</v>
      </c>
      <c r="O288" s="4" t="s">
        <v>1040</v>
      </c>
      <c r="P288" s="4">
        <v>572327221</v>
      </c>
      <c r="R288" s="4">
        <v>6600</v>
      </c>
      <c r="S288">
        <f t="shared" si="8"/>
        <v>8118</v>
      </c>
      <c r="T288" s="7">
        <v>-96</v>
      </c>
      <c r="U288">
        <f t="shared" si="9"/>
        <v>324.71999999999997</v>
      </c>
      <c r="V288" s="15">
        <v>0.64500000000000002</v>
      </c>
      <c r="W288" s="16">
        <v>0.59</v>
      </c>
      <c r="BB288" s="20" t="str">
        <f>HYPERLINK("https://v360.in/diamondview.aspx?cid=preet&amp;d=HN-151-10","https://v360.in/diamondview.aspx?cid=preet&amp;d=HN-151-10")</f>
        <v>https://v360.in/diamondview.aspx?cid=preet&amp;d=HN-151-10</v>
      </c>
    </row>
    <row r="289" spans="1:54" ht="16" x14ac:dyDescent="0.2">
      <c r="A289" s="4" t="s">
        <v>349</v>
      </c>
      <c r="B289" s="7" t="s">
        <v>536</v>
      </c>
      <c r="C289" s="4" t="s">
        <v>561</v>
      </c>
      <c r="D289" s="8">
        <v>1.23</v>
      </c>
      <c r="E289" s="9" t="s">
        <v>536</v>
      </c>
      <c r="F289" s="4" t="s">
        <v>544</v>
      </c>
      <c r="G289" s="4" t="s">
        <v>539</v>
      </c>
      <c r="H289" s="4" t="s">
        <v>540</v>
      </c>
      <c r="I289" s="4" t="s">
        <v>540</v>
      </c>
      <c r="J289" s="4" t="s">
        <v>541</v>
      </c>
      <c r="L289" s="4" t="s">
        <v>853</v>
      </c>
      <c r="O289" s="4" t="s">
        <v>1040</v>
      </c>
      <c r="P289" s="4">
        <v>573311731</v>
      </c>
      <c r="R289" s="4">
        <v>7000</v>
      </c>
      <c r="S289">
        <f t="shared" si="8"/>
        <v>8610</v>
      </c>
      <c r="T289" s="7">
        <v>-96</v>
      </c>
      <c r="U289">
        <f t="shared" si="9"/>
        <v>344.4</v>
      </c>
      <c r="V289" s="15">
        <v>0.58499999999999996</v>
      </c>
      <c r="W289" s="15">
        <v>0.58499999999999996</v>
      </c>
      <c r="BB289" s="20" t="str">
        <f>HYPERLINK("https://view.gem360.in/gem360/0504230648-HN-153-7/gem360-0504230648-HN-153-7.html","https://view.gem360.in/gem360/0504230648-HN-153-7/gem360-0504230648-HN-153-7.html")</f>
        <v>https://view.gem360.in/gem360/0504230648-HN-153-7/gem360-0504230648-HN-153-7.html</v>
      </c>
    </row>
    <row r="290" spans="1:54" ht="16" x14ac:dyDescent="0.2">
      <c r="A290" s="4" t="s">
        <v>350</v>
      </c>
      <c r="B290" s="7" t="s">
        <v>536</v>
      </c>
      <c r="C290" s="4" t="s">
        <v>561</v>
      </c>
      <c r="D290" s="8">
        <v>1.23</v>
      </c>
      <c r="E290" s="9" t="s">
        <v>536</v>
      </c>
      <c r="F290" s="4" t="s">
        <v>544</v>
      </c>
      <c r="G290" s="4" t="s">
        <v>539</v>
      </c>
      <c r="H290" s="4" t="s">
        <v>540</v>
      </c>
      <c r="I290" s="4" t="s">
        <v>551</v>
      </c>
      <c r="J290" s="4" t="s">
        <v>541</v>
      </c>
      <c r="L290" s="4" t="s">
        <v>854</v>
      </c>
      <c r="O290" s="4" t="s">
        <v>1040</v>
      </c>
      <c r="P290" s="4">
        <v>570376187</v>
      </c>
      <c r="R290" s="4">
        <v>7000</v>
      </c>
      <c r="S290">
        <f t="shared" si="8"/>
        <v>8610</v>
      </c>
      <c r="T290" s="7">
        <v>-96</v>
      </c>
      <c r="U290">
        <f t="shared" si="9"/>
        <v>344.4</v>
      </c>
      <c r="V290" s="16">
        <v>0.59</v>
      </c>
      <c r="W290" s="15">
        <v>0.60499999999999998</v>
      </c>
      <c r="BB290" s="20" t="str">
        <f>HYPERLINK("https://v360.in/diamondview.aspx?cid=preet&amp;d=HN-148-26","https://v360.in/diamondview.aspx?cid=preet&amp;d=HN-148-26")</f>
        <v>https://v360.in/diamondview.aspx?cid=preet&amp;d=HN-148-26</v>
      </c>
    </row>
    <row r="291" spans="1:54" ht="16" x14ac:dyDescent="0.2">
      <c r="A291" s="4" t="s">
        <v>351</v>
      </c>
      <c r="B291" s="7" t="s">
        <v>536</v>
      </c>
      <c r="C291" s="4" t="s">
        <v>561</v>
      </c>
      <c r="D291" s="8">
        <v>1.21</v>
      </c>
      <c r="E291" s="9" t="s">
        <v>546</v>
      </c>
      <c r="F291" s="4" t="s">
        <v>544</v>
      </c>
      <c r="G291" s="4" t="s">
        <v>539</v>
      </c>
      <c r="H291" s="4" t="s">
        <v>540</v>
      </c>
      <c r="I291" s="4" t="s">
        <v>540</v>
      </c>
      <c r="J291" s="4" t="s">
        <v>541</v>
      </c>
      <c r="L291" s="4" t="s">
        <v>855</v>
      </c>
      <c r="O291" s="4" t="s">
        <v>1040</v>
      </c>
      <c r="P291" s="4">
        <v>585303895</v>
      </c>
      <c r="R291" s="4">
        <v>7500</v>
      </c>
      <c r="S291">
        <f t="shared" si="8"/>
        <v>9075</v>
      </c>
      <c r="T291" s="7">
        <v>-96</v>
      </c>
      <c r="U291">
        <f t="shared" si="9"/>
        <v>363</v>
      </c>
      <c r="V291" s="15">
        <v>0.58899999999999997</v>
      </c>
      <c r="W291" s="16">
        <v>0.57999999999999996</v>
      </c>
      <c r="BB291" s="20" t="str">
        <f>HYPERLINK("https://view.gem360.in/gem360/1206230557-HN-767/gem360-1206230557-HN-767.html","https://view.gem360.in/gem360/1206230557-HN-767/gem360-1206230557-HN-767.html")</f>
        <v>https://view.gem360.in/gem360/1206230557-HN-767/gem360-1206230557-HN-767.html</v>
      </c>
    </row>
    <row r="292" spans="1:54" ht="16" x14ac:dyDescent="0.2">
      <c r="A292" s="4" t="s">
        <v>352</v>
      </c>
      <c r="B292" s="7" t="s">
        <v>536</v>
      </c>
      <c r="C292" s="4" t="s">
        <v>561</v>
      </c>
      <c r="D292" s="8">
        <v>1.21</v>
      </c>
      <c r="E292" s="9" t="s">
        <v>536</v>
      </c>
      <c r="F292" s="4" t="s">
        <v>544</v>
      </c>
      <c r="G292" s="4" t="s">
        <v>539</v>
      </c>
      <c r="H292" s="4" t="s">
        <v>540</v>
      </c>
      <c r="I292" s="4" t="s">
        <v>540</v>
      </c>
      <c r="J292" s="4" t="s">
        <v>541</v>
      </c>
      <c r="L292" s="4" t="s">
        <v>856</v>
      </c>
      <c r="O292" s="4" t="s">
        <v>1040</v>
      </c>
      <c r="P292" s="4">
        <v>571307680</v>
      </c>
      <c r="R292" s="4">
        <v>7000</v>
      </c>
      <c r="S292">
        <f t="shared" si="8"/>
        <v>8470</v>
      </c>
      <c r="T292" s="7">
        <v>-96</v>
      </c>
      <c r="U292">
        <f t="shared" si="9"/>
        <v>338.8</v>
      </c>
      <c r="V292" s="15">
        <v>0.58099999999999996</v>
      </c>
      <c r="W292" s="15">
        <v>0.71499999999999997</v>
      </c>
      <c r="BB292" s="20" t="str">
        <f>HYPERLINK("https://v360.in/diamondview.aspx?cid=preet&amp;d=HN-150-9","https://v360.in/diamondview.aspx?cid=preet&amp;d=HN-150-9")</f>
        <v>https://v360.in/diamondview.aspx?cid=preet&amp;d=HN-150-9</v>
      </c>
    </row>
    <row r="293" spans="1:54" ht="16" x14ac:dyDescent="0.2">
      <c r="A293" s="4" t="s">
        <v>353</v>
      </c>
      <c r="B293" s="7" t="s">
        <v>536</v>
      </c>
      <c r="C293" s="4" t="s">
        <v>561</v>
      </c>
      <c r="D293" s="8">
        <v>1.21</v>
      </c>
      <c r="E293" s="9" t="s">
        <v>536</v>
      </c>
      <c r="F293" s="4" t="s">
        <v>544</v>
      </c>
      <c r="G293" s="4" t="s">
        <v>539</v>
      </c>
      <c r="H293" s="4" t="s">
        <v>540</v>
      </c>
      <c r="I293" s="4" t="s">
        <v>540</v>
      </c>
      <c r="J293" s="4" t="s">
        <v>541</v>
      </c>
      <c r="L293" s="4" t="s">
        <v>857</v>
      </c>
      <c r="O293" s="4" t="s">
        <v>1040</v>
      </c>
      <c r="P293" s="4">
        <v>584379607</v>
      </c>
      <c r="R293" s="4">
        <v>7000</v>
      </c>
      <c r="S293">
        <f t="shared" si="8"/>
        <v>8470</v>
      </c>
      <c r="T293" s="7">
        <v>-96</v>
      </c>
      <c r="U293">
        <f t="shared" si="9"/>
        <v>338.8</v>
      </c>
      <c r="V293" s="15">
        <v>0.58799999999999997</v>
      </c>
      <c r="W293" s="16">
        <v>0.59</v>
      </c>
      <c r="BB293" s="20" t="str">
        <f>HYPERLINK("https://view.gem360.in/gem360/0706230550-HN-738/gem360-0706230550-HN-738.html","https://view.gem360.in/gem360/0706230550-HN-738/gem360-0706230550-HN-738.html")</f>
        <v>https://view.gem360.in/gem360/0706230550-HN-738/gem360-0706230550-HN-738.html</v>
      </c>
    </row>
    <row r="294" spans="1:54" ht="16" x14ac:dyDescent="0.2">
      <c r="A294" s="4" t="s">
        <v>354</v>
      </c>
      <c r="B294" s="7" t="s">
        <v>536</v>
      </c>
      <c r="C294" s="4" t="s">
        <v>561</v>
      </c>
      <c r="D294" s="8">
        <v>1.19</v>
      </c>
      <c r="E294" s="9" t="s">
        <v>536</v>
      </c>
      <c r="F294" s="4" t="s">
        <v>547</v>
      </c>
      <c r="G294" s="4" t="s">
        <v>539</v>
      </c>
      <c r="H294" s="4" t="s">
        <v>540</v>
      </c>
      <c r="I294" s="4" t="s">
        <v>540</v>
      </c>
      <c r="J294" s="4" t="s">
        <v>541</v>
      </c>
      <c r="L294" s="4" t="s">
        <v>858</v>
      </c>
      <c r="O294" s="4" t="s">
        <v>1040</v>
      </c>
      <c r="P294" s="4">
        <v>551214609</v>
      </c>
      <c r="R294" s="4">
        <v>7300</v>
      </c>
      <c r="S294">
        <f t="shared" si="8"/>
        <v>8687</v>
      </c>
      <c r="T294" s="7">
        <v>-96</v>
      </c>
      <c r="U294">
        <f t="shared" si="9"/>
        <v>347.47999999999996</v>
      </c>
      <c r="V294" s="15">
        <v>0.63200000000000001</v>
      </c>
      <c r="W294" s="16">
        <v>0.59</v>
      </c>
      <c r="BB294" s="20" t="str">
        <f>HYPERLINK("https://v360.in/diamondview.aspx?cid=preet&amp;d=HN-127-50","https://v360.in/diamondview.aspx?cid=preet&amp;d=HN-127-50")</f>
        <v>https://v360.in/diamondview.aspx?cid=preet&amp;d=HN-127-50</v>
      </c>
    </row>
    <row r="295" spans="1:54" ht="16" x14ac:dyDescent="0.2">
      <c r="A295" s="4" t="s">
        <v>355</v>
      </c>
      <c r="B295" s="7" t="s">
        <v>536</v>
      </c>
      <c r="C295" s="4" t="s">
        <v>561</v>
      </c>
      <c r="D295" s="8">
        <v>1.18</v>
      </c>
      <c r="E295" s="9" t="s">
        <v>546</v>
      </c>
      <c r="F295" s="4" t="s">
        <v>544</v>
      </c>
      <c r="G295" s="4" t="s">
        <v>539</v>
      </c>
      <c r="H295" s="4" t="s">
        <v>540</v>
      </c>
      <c r="I295" s="4" t="s">
        <v>540</v>
      </c>
      <c r="J295" s="4" t="s">
        <v>541</v>
      </c>
      <c r="L295" s="4" t="s">
        <v>859</v>
      </c>
      <c r="O295" s="4" t="s">
        <v>1040</v>
      </c>
      <c r="P295" s="4">
        <v>584379520</v>
      </c>
      <c r="R295" s="4">
        <v>7500</v>
      </c>
      <c r="S295">
        <f t="shared" si="8"/>
        <v>8850</v>
      </c>
      <c r="T295" s="7">
        <v>-96</v>
      </c>
      <c r="U295">
        <f t="shared" si="9"/>
        <v>354</v>
      </c>
      <c r="V295" s="15">
        <v>0.59599999999999997</v>
      </c>
      <c r="W295" s="16">
        <v>0.6</v>
      </c>
      <c r="BB295" s="20" t="str">
        <f>HYPERLINK("https://view.gem360.in/gem360/0706230556-HN-736/gem360-0706230556-HN-736.html","https://view.gem360.in/gem360/0706230556-HN-736/gem360-0706230556-HN-736.html")</f>
        <v>https://view.gem360.in/gem360/0706230556-HN-736/gem360-0706230556-HN-736.html</v>
      </c>
    </row>
    <row r="296" spans="1:54" ht="16" x14ac:dyDescent="0.2">
      <c r="A296" s="4" t="s">
        <v>356</v>
      </c>
      <c r="B296" s="7" t="s">
        <v>536</v>
      </c>
      <c r="C296" s="4" t="s">
        <v>561</v>
      </c>
      <c r="D296" s="8">
        <v>1.1599999999999999</v>
      </c>
      <c r="E296" s="9" t="s">
        <v>546</v>
      </c>
      <c r="F296" s="4" t="s">
        <v>538</v>
      </c>
      <c r="G296" s="4" t="s">
        <v>539</v>
      </c>
      <c r="H296" s="4" t="s">
        <v>540</v>
      </c>
      <c r="I296" s="4" t="s">
        <v>540</v>
      </c>
      <c r="J296" s="4" t="s">
        <v>541</v>
      </c>
      <c r="L296" s="4" t="s">
        <v>860</v>
      </c>
      <c r="O296" s="4" t="s">
        <v>1040</v>
      </c>
      <c r="P296" s="4">
        <v>570376186</v>
      </c>
      <c r="R296" s="4">
        <v>6900</v>
      </c>
      <c r="S296">
        <f t="shared" si="8"/>
        <v>8003.9999999999991</v>
      </c>
      <c r="T296" s="7">
        <v>-96</v>
      </c>
      <c r="U296">
        <f t="shared" si="9"/>
        <v>320.15999999999997</v>
      </c>
      <c r="V296" s="15">
        <v>0.58299999999999996</v>
      </c>
      <c r="W296" s="15">
        <v>0.625</v>
      </c>
      <c r="BB296" s="20" t="str">
        <f>HYPERLINK("https://v360.in/diamondview.aspx?cid=preet&amp;d=HN-148-28","https://v360.in/diamondview.aspx?cid=preet&amp;d=HN-148-28")</f>
        <v>https://v360.in/diamondview.aspx?cid=preet&amp;d=HN-148-28</v>
      </c>
    </row>
    <row r="297" spans="1:54" ht="16" x14ac:dyDescent="0.2">
      <c r="A297" s="4" t="s">
        <v>357</v>
      </c>
      <c r="B297" s="7" t="s">
        <v>536</v>
      </c>
      <c r="C297" s="4" t="s">
        <v>561</v>
      </c>
      <c r="D297" s="8">
        <v>1.1399999999999999</v>
      </c>
      <c r="E297" s="9" t="s">
        <v>546</v>
      </c>
      <c r="F297" s="4" t="s">
        <v>544</v>
      </c>
      <c r="G297" s="4" t="s">
        <v>539</v>
      </c>
      <c r="H297" s="4" t="s">
        <v>540</v>
      </c>
      <c r="I297" s="4" t="s">
        <v>540</v>
      </c>
      <c r="J297" s="4" t="s">
        <v>541</v>
      </c>
      <c r="L297" s="4" t="s">
        <v>861</v>
      </c>
      <c r="O297" s="4" t="s">
        <v>1040</v>
      </c>
      <c r="P297" s="4">
        <v>571307679</v>
      </c>
      <c r="R297" s="4">
        <v>7500</v>
      </c>
      <c r="S297">
        <f t="shared" si="8"/>
        <v>8550</v>
      </c>
      <c r="T297" s="7">
        <v>-96</v>
      </c>
      <c r="U297">
        <f t="shared" si="9"/>
        <v>341.99999999999994</v>
      </c>
      <c r="V297" s="15">
        <v>0.61899999999999999</v>
      </c>
      <c r="W297" s="15">
        <v>0.57499999999999996</v>
      </c>
      <c r="BB297" s="20" t="str">
        <f>HYPERLINK("https://v360.in/diamondview.aspx?cid=preet&amp;d=HN-150-8","https://v360.in/diamondview.aspx?cid=preet&amp;d=HN-150-8")</f>
        <v>https://v360.in/diamondview.aspx?cid=preet&amp;d=HN-150-8</v>
      </c>
    </row>
    <row r="298" spans="1:54" ht="16" x14ac:dyDescent="0.2">
      <c r="A298" s="4" t="s">
        <v>358</v>
      </c>
      <c r="B298" s="7" t="s">
        <v>536</v>
      </c>
      <c r="C298" s="4" t="s">
        <v>561</v>
      </c>
      <c r="D298" s="8">
        <v>1.1399999999999999</v>
      </c>
      <c r="E298" s="9" t="s">
        <v>546</v>
      </c>
      <c r="F298" s="4" t="s">
        <v>544</v>
      </c>
      <c r="G298" s="4" t="s">
        <v>539</v>
      </c>
      <c r="H298" s="4" t="s">
        <v>540</v>
      </c>
      <c r="I298" s="4" t="s">
        <v>540</v>
      </c>
      <c r="J298" s="4" t="s">
        <v>541</v>
      </c>
      <c r="L298" s="4" t="s">
        <v>862</v>
      </c>
      <c r="O298" s="4" t="s">
        <v>1040</v>
      </c>
      <c r="P298" s="4">
        <v>588377519</v>
      </c>
      <c r="R298" s="4">
        <v>7500</v>
      </c>
      <c r="S298">
        <f t="shared" si="8"/>
        <v>8550</v>
      </c>
      <c r="T298" s="7">
        <v>-96</v>
      </c>
      <c r="U298">
        <f t="shared" si="9"/>
        <v>341.99999999999994</v>
      </c>
      <c r="V298" s="15">
        <v>0.60099999999999998</v>
      </c>
      <c r="W298" s="16">
        <v>0.59</v>
      </c>
      <c r="BB298" s="20" t="str">
        <f>HYPERLINK("https://view.gem360.in/gem360/1107231053-HN-7013/gem360-1107231053-HN-7013.html","https://view.gem360.in/gem360/1107231053-HN-7013/gem360-1107231053-HN-7013.html")</f>
        <v>https://view.gem360.in/gem360/1107231053-HN-7013/gem360-1107231053-HN-7013.html</v>
      </c>
    </row>
    <row r="299" spans="1:54" ht="16" x14ac:dyDescent="0.2">
      <c r="A299" s="4" t="s">
        <v>359</v>
      </c>
      <c r="B299" s="7" t="s">
        <v>536</v>
      </c>
      <c r="C299" s="4" t="s">
        <v>561</v>
      </c>
      <c r="D299" s="8">
        <v>1.1299999999999999</v>
      </c>
      <c r="E299" s="9" t="s">
        <v>546</v>
      </c>
      <c r="F299" s="4" t="s">
        <v>544</v>
      </c>
      <c r="G299" s="4" t="s">
        <v>539</v>
      </c>
      <c r="H299" s="4" t="s">
        <v>540</v>
      </c>
      <c r="I299" s="4" t="s">
        <v>540</v>
      </c>
      <c r="J299" s="4" t="s">
        <v>541</v>
      </c>
      <c r="L299" s="4" t="s">
        <v>863</v>
      </c>
      <c r="O299" s="4" t="s">
        <v>1040</v>
      </c>
      <c r="P299" s="4">
        <v>585303883</v>
      </c>
      <c r="R299" s="4">
        <v>7500</v>
      </c>
      <c r="S299">
        <f t="shared" si="8"/>
        <v>8475</v>
      </c>
      <c r="T299" s="7">
        <v>-96</v>
      </c>
      <c r="U299">
        <f t="shared" si="9"/>
        <v>338.99999999999994</v>
      </c>
      <c r="V299" s="15">
        <v>0.629</v>
      </c>
      <c r="W299" s="16">
        <v>0.64</v>
      </c>
      <c r="BB299" s="20" t="str">
        <f>HYPERLINK("https://view.gem360.in/gem360/1206230605-HN-755/gem360-1206230605-HN-755.html","https://view.gem360.in/gem360/1206230605-HN-755/gem360-1206230605-HN-755.html")</f>
        <v>https://view.gem360.in/gem360/1206230605-HN-755/gem360-1206230605-HN-755.html</v>
      </c>
    </row>
    <row r="300" spans="1:54" ht="16" x14ac:dyDescent="0.2">
      <c r="A300" s="4" t="s">
        <v>360</v>
      </c>
      <c r="B300" s="7" t="s">
        <v>536</v>
      </c>
      <c r="C300" s="4" t="s">
        <v>561</v>
      </c>
      <c r="D300" s="8">
        <v>1.1200000000000001</v>
      </c>
      <c r="E300" s="9" t="s">
        <v>546</v>
      </c>
      <c r="F300" s="4" t="s">
        <v>547</v>
      </c>
      <c r="G300" s="4" t="s">
        <v>539</v>
      </c>
      <c r="H300" s="4" t="s">
        <v>540</v>
      </c>
      <c r="I300" s="4" t="s">
        <v>540</v>
      </c>
      <c r="J300" s="4" t="s">
        <v>541</v>
      </c>
      <c r="L300" s="4" t="s">
        <v>864</v>
      </c>
      <c r="O300" s="4" t="s">
        <v>1040</v>
      </c>
      <c r="P300" s="4">
        <v>588377518</v>
      </c>
      <c r="R300" s="4">
        <v>8000</v>
      </c>
      <c r="S300">
        <f t="shared" si="8"/>
        <v>8960</v>
      </c>
      <c r="T300" s="7">
        <v>-96</v>
      </c>
      <c r="U300">
        <f t="shared" si="9"/>
        <v>358.40000000000003</v>
      </c>
      <c r="V300" s="15">
        <v>0.58099999999999996</v>
      </c>
      <c r="W300" s="16">
        <v>0.59</v>
      </c>
      <c r="BB300" s="20" t="str">
        <f>HYPERLINK("https://view.gem360.in/gem360/1107231056-HN-7012/gem360-1107231056-HN-7012.html","https://view.gem360.in/gem360/1107231056-HN-7012/gem360-1107231056-HN-7012.html")</f>
        <v>https://view.gem360.in/gem360/1107231056-HN-7012/gem360-1107231056-HN-7012.html</v>
      </c>
    </row>
    <row r="301" spans="1:54" ht="16" x14ac:dyDescent="0.2">
      <c r="A301" s="4" t="s">
        <v>361</v>
      </c>
      <c r="B301" s="7" t="s">
        <v>536</v>
      </c>
      <c r="C301" s="4" t="s">
        <v>561</v>
      </c>
      <c r="D301" s="8">
        <v>1.1200000000000001</v>
      </c>
      <c r="E301" s="9" t="s">
        <v>536</v>
      </c>
      <c r="F301" s="4" t="s">
        <v>538</v>
      </c>
      <c r="G301" s="4" t="s">
        <v>539</v>
      </c>
      <c r="H301" s="4" t="s">
        <v>540</v>
      </c>
      <c r="I301" s="4" t="s">
        <v>540</v>
      </c>
      <c r="J301" s="4" t="s">
        <v>541</v>
      </c>
      <c r="L301" s="4" t="s">
        <v>865</v>
      </c>
      <c r="O301" s="4" t="s">
        <v>1040</v>
      </c>
      <c r="P301" s="4">
        <v>573311730</v>
      </c>
      <c r="R301" s="4">
        <v>6600</v>
      </c>
      <c r="S301">
        <f t="shared" si="8"/>
        <v>7392.0000000000009</v>
      </c>
      <c r="T301" s="7">
        <v>-96</v>
      </c>
      <c r="U301">
        <f t="shared" si="9"/>
        <v>295.68</v>
      </c>
      <c r="V301" s="15">
        <v>0.61799999999999999</v>
      </c>
      <c r="W301" s="16">
        <v>0.61</v>
      </c>
      <c r="BB301" s="20" t="str">
        <f>HYPERLINK("https://view.gem360.in/gem360/0504230656-HN-153-6/gem360-0504230656-HN-153-6.html","https://view.gem360.in/gem360/0504230656-HN-153-6/gem360-0504230656-HN-153-6.html")</f>
        <v>https://view.gem360.in/gem360/0504230656-HN-153-6/gem360-0504230656-HN-153-6.html</v>
      </c>
    </row>
    <row r="302" spans="1:54" ht="16" x14ac:dyDescent="0.2">
      <c r="A302" s="4" t="s">
        <v>362</v>
      </c>
      <c r="B302" s="7" t="s">
        <v>536</v>
      </c>
      <c r="C302" s="4" t="s">
        <v>561</v>
      </c>
      <c r="D302" s="8">
        <v>1.1100000000000001</v>
      </c>
      <c r="E302" s="9" t="s">
        <v>548</v>
      </c>
      <c r="F302" s="4" t="s">
        <v>544</v>
      </c>
      <c r="G302" s="4" t="s">
        <v>539</v>
      </c>
      <c r="H302" s="4" t="s">
        <v>540</v>
      </c>
      <c r="I302" s="4" t="s">
        <v>540</v>
      </c>
      <c r="J302" s="4" t="s">
        <v>541</v>
      </c>
      <c r="L302" s="4" t="s">
        <v>866</v>
      </c>
      <c r="O302" s="4" t="s">
        <v>1040</v>
      </c>
      <c r="P302" s="4">
        <v>583334117</v>
      </c>
      <c r="R302" s="4">
        <v>8000</v>
      </c>
      <c r="S302">
        <f t="shared" si="8"/>
        <v>8880</v>
      </c>
      <c r="T302" s="7">
        <v>-96</v>
      </c>
      <c r="U302">
        <f t="shared" si="9"/>
        <v>355.20000000000005</v>
      </c>
      <c r="V302" s="15">
        <v>0.621</v>
      </c>
      <c r="W302" s="16">
        <v>0.59</v>
      </c>
      <c r="BB302" s="20" t="str">
        <f>HYPERLINK("https://view.gem360.in/gem360/0106230711-HN-722/gem360-0106230711-HN-722.html","https://view.gem360.in/gem360/0106230711-HN-722/gem360-0106230711-HN-722.html")</f>
        <v>https://view.gem360.in/gem360/0106230711-HN-722/gem360-0106230711-HN-722.html</v>
      </c>
    </row>
    <row r="303" spans="1:54" ht="16" x14ac:dyDescent="0.2">
      <c r="A303" s="4" t="s">
        <v>363</v>
      </c>
      <c r="B303" s="7" t="s">
        <v>536</v>
      </c>
      <c r="C303" s="4" t="s">
        <v>561</v>
      </c>
      <c r="D303" s="8">
        <v>1.1100000000000001</v>
      </c>
      <c r="E303" s="9" t="s">
        <v>546</v>
      </c>
      <c r="F303" s="4" t="s">
        <v>538</v>
      </c>
      <c r="G303" s="4" t="s">
        <v>539</v>
      </c>
      <c r="H303" s="4" t="s">
        <v>540</v>
      </c>
      <c r="I303" s="4" t="s">
        <v>540</v>
      </c>
      <c r="J303" s="4" t="s">
        <v>541</v>
      </c>
      <c r="L303" s="4" t="s">
        <v>867</v>
      </c>
      <c r="O303" s="4" t="s">
        <v>1040</v>
      </c>
      <c r="P303" s="4">
        <v>584379529</v>
      </c>
      <c r="R303" s="4">
        <v>6900</v>
      </c>
      <c r="S303">
        <f t="shared" si="8"/>
        <v>7659.0000000000009</v>
      </c>
      <c r="T303" s="7">
        <v>-96</v>
      </c>
      <c r="U303">
        <f t="shared" si="9"/>
        <v>306.36</v>
      </c>
      <c r="V303" s="16">
        <v>0.62</v>
      </c>
      <c r="W303" s="16">
        <v>0.61</v>
      </c>
      <c r="BB303" s="20" t="str">
        <f>HYPERLINK("https://view.gem360.in/gem360/0706230601-HN-739/gem360-0706230601-HN-739.html","https://view.gem360.in/gem360/0706230601-HN-739/gem360-0706230601-HN-739.html")</f>
        <v>https://view.gem360.in/gem360/0706230601-HN-739/gem360-0706230601-HN-739.html</v>
      </c>
    </row>
    <row r="304" spans="1:54" ht="16" x14ac:dyDescent="0.2">
      <c r="A304" s="4" t="s">
        <v>364</v>
      </c>
      <c r="B304" s="7" t="s">
        <v>536</v>
      </c>
      <c r="C304" s="4" t="s">
        <v>561</v>
      </c>
      <c r="D304" s="8">
        <v>1.1000000000000001</v>
      </c>
      <c r="E304" s="9" t="s">
        <v>548</v>
      </c>
      <c r="F304" s="4" t="s">
        <v>544</v>
      </c>
      <c r="G304" s="4" t="s">
        <v>539</v>
      </c>
      <c r="H304" s="4" t="s">
        <v>540</v>
      </c>
      <c r="I304" s="4" t="s">
        <v>551</v>
      </c>
      <c r="J304" s="4" t="s">
        <v>541</v>
      </c>
      <c r="L304" s="4" t="s">
        <v>868</v>
      </c>
      <c r="O304" s="4" t="s">
        <v>1040</v>
      </c>
      <c r="P304" s="4">
        <v>587308065</v>
      </c>
      <c r="R304" s="4">
        <v>8000</v>
      </c>
      <c r="S304">
        <f t="shared" si="8"/>
        <v>8800</v>
      </c>
      <c r="T304" s="7">
        <v>-96</v>
      </c>
      <c r="U304">
        <f t="shared" si="9"/>
        <v>352</v>
      </c>
      <c r="V304" s="16">
        <v>0.56999999999999995</v>
      </c>
      <c r="W304" s="16">
        <v>0.61</v>
      </c>
      <c r="BB304" s="20" t="str">
        <f>HYPERLINK("https://view.gem360.in/gem360/2906230724-HN-787/gem360-2906230724-HN-787.html","https://view.gem360.in/gem360/2906230724-HN-787/gem360-2906230724-HN-787.html")</f>
        <v>https://view.gem360.in/gem360/2906230724-HN-787/gem360-2906230724-HN-787.html</v>
      </c>
    </row>
    <row r="305" spans="1:54" ht="16" x14ac:dyDescent="0.2">
      <c r="A305" s="4" t="s">
        <v>365</v>
      </c>
      <c r="B305" s="7" t="s">
        <v>536</v>
      </c>
      <c r="C305" s="4" t="s">
        <v>561</v>
      </c>
      <c r="D305" s="8">
        <v>1.06</v>
      </c>
      <c r="E305" s="9" t="s">
        <v>536</v>
      </c>
      <c r="F305" s="4" t="s">
        <v>544</v>
      </c>
      <c r="G305" s="4" t="s">
        <v>539</v>
      </c>
      <c r="H305" s="4" t="s">
        <v>540</v>
      </c>
      <c r="I305" s="4" t="s">
        <v>540</v>
      </c>
      <c r="J305" s="4" t="s">
        <v>541</v>
      </c>
      <c r="L305" s="4" t="s">
        <v>869</v>
      </c>
      <c r="O305" s="4" t="s">
        <v>1040</v>
      </c>
      <c r="P305" s="4">
        <v>571307678</v>
      </c>
      <c r="R305" s="4">
        <v>7000</v>
      </c>
      <c r="S305">
        <f t="shared" si="8"/>
        <v>7420</v>
      </c>
      <c r="T305" s="7">
        <v>-96</v>
      </c>
      <c r="U305">
        <f t="shared" si="9"/>
        <v>296.8</v>
      </c>
      <c r="V305" s="15">
        <v>0.58899999999999997</v>
      </c>
      <c r="W305" s="15">
        <v>0.59499999999999997</v>
      </c>
      <c r="BB305" s="20" t="str">
        <f>HYPERLINK("https://v360.in/diamondview.aspx?cid=preet&amp;d=HN-150-7","https://v360.in/diamondview.aspx?cid=preet&amp;d=HN-150-7")</f>
        <v>https://v360.in/diamondview.aspx?cid=preet&amp;d=HN-150-7</v>
      </c>
    </row>
    <row r="306" spans="1:54" ht="16" x14ac:dyDescent="0.2">
      <c r="A306" s="4" t="s">
        <v>366</v>
      </c>
      <c r="B306" s="7" t="s">
        <v>536</v>
      </c>
      <c r="C306" s="4" t="s">
        <v>561</v>
      </c>
      <c r="D306" s="8">
        <v>1.01</v>
      </c>
      <c r="E306" s="9" t="s">
        <v>546</v>
      </c>
      <c r="F306" s="4" t="s">
        <v>544</v>
      </c>
      <c r="G306" s="4" t="s">
        <v>539</v>
      </c>
      <c r="H306" s="4" t="s">
        <v>540</v>
      </c>
      <c r="I306" s="4" t="s">
        <v>540</v>
      </c>
      <c r="J306" s="4" t="s">
        <v>541</v>
      </c>
      <c r="L306" s="4" t="s">
        <v>870</v>
      </c>
      <c r="O306" s="4" t="s">
        <v>1040</v>
      </c>
      <c r="P306" s="4">
        <v>588377504</v>
      </c>
      <c r="R306" s="4">
        <v>7500</v>
      </c>
      <c r="S306">
        <f t="shared" si="8"/>
        <v>7575</v>
      </c>
      <c r="T306" s="7">
        <v>-96</v>
      </c>
      <c r="U306">
        <f t="shared" si="9"/>
        <v>303</v>
      </c>
      <c r="V306" s="15">
        <v>0.59699999999999998</v>
      </c>
      <c r="W306" s="16">
        <v>0.6</v>
      </c>
      <c r="BB306" s="20" t="str">
        <f>HYPERLINK("https://view.gem360.in/gem360/1107231100-HN-7010/gem360-1107231100-HN-7010.html","https://view.gem360.in/gem360/1107231100-HN-7010/gem360-1107231100-HN-7010.html")</f>
        <v>https://view.gem360.in/gem360/1107231100-HN-7010/gem360-1107231100-HN-7010.html</v>
      </c>
    </row>
    <row r="307" spans="1:54" ht="16" x14ac:dyDescent="0.2">
      <c r="A307" s="4" t="s">
        <v>367</v>
      </c>
      <c r="B307" s="7" t="s">
        <v>536</v>
      </c>
      <c r="C307" s="4" t="s">
        <v>561</v>
      </c>
      <c r="D307" s="8">
        <v>1</v>
      </c>
      <c r="E307" s="9" t="s">
        <v>546</v>
      </c>
      <c r="F307" s="4" t="s">
        <v>547</v>
      </c>
      <c r="G307" s="4" t="s">
        <v>539</v>
      </c>
      <c r="H307" s="4" t="s">
        <v>540</v>
      </c>
      <c r="I307" s="4" t="s">
        <v>540</v>
      </c>
      <c r="J307" s="4" t="s">
        <v>541</v>
      </c>
      <c r="L307" s="4" t="s">
        <v>871</v>
      </c>
      <c r="O307" s="4" t="s">
        <v>1040</v>
      </c>
      <c r="P307" s="4">
        <v>585303891</v>
      </c>
      <c r="R307" s="4">
        <v>8000</v>
      </c>
      <c r="S307">
        <f t="shared" si="8"/>
        <v>8000</v>
      </c>
      <c r="T307" s="7">
        <v>-96</v>
      </c>
      <c r="U307">
        <f t="shared" si="9"/>
        <v>320</v>
      </c>
      <c r="V307" s="15">
        <v>0.57799999999999996</v>
      </c>
      <c r="W307" s="4">
        <v>66</v>
      </c>
      <c r="BB307" s="20" t="str">
        <f>HYPERLINK("https://view.gem360.in/gem360/1206230612-HN-753/gem360-1206230612-HN-753.html","https://view.gem360.in/gem360/1206230612-HN-753/gem360-1206230612-HN-753.html")</f>
        <v>https://view.gem360.in/gem360/1206230612-HN-753/gem360-1206230612-HN-753.html</v>
      </c>
    </row>
    <row r="308" spans="1:54" ht="16" x14ac:dyDescent="0.2">
      <c r="A308" s="4" t="s">
        <v>368</v>
      </c>
      <c r="B308" s="7" t="s">
        <v>536</v>
      </c>
      <c r="C308" s="4" t="s">
        <v>561</v>
      </c>
      <c r="D308" s="8">
        <v>1</v>
      </c>
      <c r="E308" s="9" t="s">
        <v>546</v>
      </c>
      <c r="F308" s="4" t="s">
        <v>538</v>
      </c>
      <c r="G308" s="4" t="s">
        <v>539</v>
      </c>
      <c r="H308" s="4" t="s">
        <v>540</v>
      </c>
      <c r="I308" s="4" t="s">
        <v>540</v>
      </c>
      <c r="J308" s="4" t="s">
        <v>541</v>
      </c>
      <c r="L308" s="4" t="s">
        <v>872</v>
      </c>
      <c r="O308" s="4" t="s">
        <v>1040</v>
      </c>
      <c r="P308" s="4">
        <v>584379538</v>
      </c>
      <c r="R308" s="4">
        <v>6900</v>
      </c>
      <c r="S308">
        <f t="shared" si="8"/>
        <v>6900</v>
      </c>
      <c r="T308" s="7">
        <v>-96</v>
      </c>
      <c r="U308">
        <f t="shared" si="9"/>
        <v>276</v>
      </c>
      <c r="V308" s="15">
        <v>0.63500000000000001</v>
      </c>
      <c r="W308" s="16">
        <v>0.62</v>
      </c>
      <c r="BB308" s="20" t="str">
        <f>HYPERLINK("https://view.gem360.in/gem360/0706230605-HN-748/gem360-0706230605-HN-748.html","https://view.gem360.in/gem360/0706230605-HN-748/gem360-0706230605-HN-748.html")</f>
        <v>https://view.gem360.in/gem360/0706230605-HN-748/gem360-0706230605-HN-748.html</v>
      </c>
    </row>
    <row r="309" spans="1:54" ht="16" x14ac:dyDescent="0.2">
      <c r="A309" s="4" t="s">
        <v>369</v>
      </c>
      <c r="B309" s="7" t="s">
        <v>536</v>
      </c>
      <c r="C309" s="4" t="s">
        <v>561</v>
      </c>
      <c r="D309" s="8">
        <v>1</v>
      </c>
      <c r="E309" s="9" t="s">
        <v>546</v>
      </c>
      <c r="F309" s="4" t="s">
        <v>538</v>
      </c>
      <c r="G309" s="4" t="s">
        <v>539</v>
      </c>
      <c r="H309" s="4" t="s">
        <v>540</v>
      </c>
      <c r="I309" s="4" t="s">
        <v>540</v>
      </c>
      <c r="J309" s="4" t="s">
        <v>541</v>
      </c>
      <c r="L309" s="4" t="s">
        <v>873</v>
      </c>
      <c r="O309" s="4" t="s">
        <v>1040</v>
      </c>
      <c r="P309" s="4">
        <v>573311725</v>
      </c>
      <c r="R309" s="4">
        <v>6900</v>
      </c>
      <c r="S309">
        <f t="shared" si="8"/>
        <v>6900</v>
      </c>
      <c r="T309" s="7">
        <v>-96</v>
      </c>
      <c r="U309">
        <f t="shared" si="9"/>
        <v>276</v>
      </c>
      <c r="V309" s="15">
        <v>0.61599999999999999</v>
      </c>
      <c r="W309" s="15">
        <v>0.61499999999999999</v>
      </c>
      <c r="BB309" s="20" t="str">
        <f>HYPERLINK("https://view.gem360.in/gem360/0504230721-HN-153-1/gem360-0504230721-HN-153-1.html","https://view.gem360.in/gem360/0504230721-HN-153-1/gem360-0504230721-HN-153-1.html")</f>
        <v>https://view.gem360.in/gem360/0504230721-HN-153-1/gem360-0504230721-HN-153-1.html</v>
      </c>
    </row>
    <row r="310" spans="1:54" ht="16" x14ac:dyDescent="0.2">
      <c r="A310" s="4" t="s">
        <v>370</v>
      </c>
      <c r="B310" s="7" t="s">
        <v>536</v>
      </c>
      <c r="C310" s="4" t="s">
        <v>561</v>
      </c>
      <c r="D310" s="8">
        <v>1</v>
      </c>
      <c r="E310" s="9" t="s">
        <v>546</v>
      </c>
      <c r="F310" s="4" t="s">
        <v>544</v>
      </c>
      <c r="G310" s="4" t="s">
        <v>539</v>
      </c>
      <c r="H310" s="4" t="s">
        <v>540</v>
      </c>
      <c r="I310" s="4" t="s">
        <v>540</v>
      </c>
      <c r="J310" s="4" t="s">
        <v>541</v>
      </c>
      <c r="L310" s="4" t="s">
        <v>874</v>
      </c>
      <c r="O310" s="4" t="s">
        <v>1040</v>
      </c>
      <c r="P310" s="4">
        <v>585303893</v>
      </c>
      <c r="R310" s="4">
        <v>7500</v>
      </c>
      <c r="S310">
        <f t="shared" si="8"/>
        <v>7500</v>
      </c>
      <c r="T310" s="7">
        <v>-96</v>
      </c>
      <c r="U310">
        <f t="shared" si="9"/>
        <v>300</v>
      </c>
      <c r="V310" s="15">
        <v>0.61799999999999999</v>
      </c>
      <c r="W310" s="16">
        <v>0.64</v>
      </c>
      <c r="BB310" s="20" t="str">
        <f>HYPERLINK("https://view.gem360.in/gem360/1206230609-HN-763/gem360-1206230609-HN-763.html","https://view.gem360.in/gem360/1206230609-HN-763/gem360-1206230609-HN-763.html")</f>
        <v>https://view.gem360.in/gem360/1206230609-HN-763/gem360-1206230609-HN-763.html</v>
      </c>
    </row>
    <row r="311" spans="1:54" ht="16" x14ac:dyDescent="0.2">
      <c r="A311" s="4" t="s">
        <v>371</v>
      </c>
      <c r="B311" s="7" t="s">
        <v>536</v>
      </c>
      <c r="C311" s="4" t="s">
        <v>562</v>
      </c>
      <c r="D311" s="8">
        <v>3.1</v>
      </c>
      <c r="E311" s="10"/>
      <c r="F311" s="4" t="s">
        <v>544</v>
      </c>
      <c r="G311" s="4" t="s">
        <v>539</v>
      </c>
      <c r="H311" s="4" t="s">
        <v>540</v>
      </c>
      <c r="I311" s="4" t="s">
        <v>540</v>
      </c>
      <c r="J311" s="4" t="s">
        <v>541</v>
      </c>
      <c r="L311" s="4" t="s">
        <v>875</v>
      </c>
      <c r="O311" s="4" t="s">
        <v>1040</v>
      </c>
      <c r="P311" s="4">
        <v>584351651</v>
      </c>
      <c r="R311" s="4">
        <v>2000</v>
      </c>
      <c r="S311">
        <f t="shared" si="8"/>
        <v>6200</v>
      </c>
      <c r="T311" s="7">
        <v>-96</v>
      </c>
      <c r="U311">
        <f t="shared" si="9"/>
        <v>248</v>
      </c>
      <c r="V311" s="15">
        <v>0.60699999999999998</v>
      </c>
      <c r="W311" s="16">
        <v>0.57999999999999996</v>
      </c>
      <c r="AR311" t="s">
        <v>1042</v>
      </c>
      <c r="AS311" t="s">
        <v>1043</v>
      </c>
      <c r="AU311" t="s">
        <v>1044</v>
      </c>
      <c r="BB311" s="20" t="str">
        <f>HYPERLINK("https://view.gem360.in/gem360/2006230920-HN-770/gem360-2006230920-HN-770.html","https://view.gem360.in/gem360/2006230920-HN-770/gem360-2006230920-HN-770.html")</f>
        <v>https://view.gem360.in/gem360/2006230920-HN-770/gem360-2006230920-HN-770.html</v>
      </c>
    </row>
    <row r="312" spans="1:54" ht="16" x14ac:dyDescent="0.2">
      <c r="A312" s="4" t="s">
        <v>372</v>
      </c>
      <c r="B312" s="7" t="s">
        <v>536</v>
      </c>
      <c r="C312" s="4" t="s">
        <v>562</v>
      </c>
      <c r="D312" s="8">
        <v>2</v>
      </c>
      <c r="E312" s="9" t="s">
        <v>542</v>
      </c>
      <c r="F312" s="4" t="s">
        <v>553</v>
      </c>
      <c r="G312" s="4" t="s">
        <v>539</v>
      </c>
      <c r="H312" s="4" t="s">
        <v>540</v>
      </c>
      <c r="I312" s="4" t="s">
        <v>551</v>
      </c>
      <c r="J312" s="4" t="s">
        <v>541</v>
      </c>
      <c r="L312" s="4" t="s">
        <v>876</v>
      </c>
      <c r="O312" s="4" t="s">
        <v>1040</v>
      </c>
      <c r="P312" s="4">
        <v>496107130</v>
      </c>
      <c r="R312" s="4">
        <v>9200</v>
      </c>
      <c r="S312">
        <f t="shared" si="8"/>
        <v>18400</v>
      </c>
      <c r="T312" s="7">
        <v>-96</v>
      </c>
      <c r="U312">
        <f t="shared" si="9"/>
        <v>736</v>
      </c>
      <c r="V312" s="15">
        <v>0.58899999999999997</v>
      </c>
      <c r="W312" s="15">
        <v>0.63500000000000001</v>
      </c>
      <c r="BB312" s="20" t="str">
        <f>HYPERLINK("https://view.gem360.in/gem360/0304230852-HN-80-45/gem360-0304230852-HN-80-45.html","https://view.gem360.in/gem360/0304230852-HN-80-45/gem360-0304230852-HN-80-45.html")</f>
        <v>https://view.gem360.in/gem360/0304230852-HN-80-45/gem360-0304230852-HN-80-45.html</v>
      </c>
    </row>
    <row r="313" spans="1:54" ht="16" x14ac:dyDescent="0.2">
      <c r="A313" s="4" t="s">
        <v>373</v>
      </c>
      <c r="B313" s="7" t="s">
        <v>536</v>
      </c>
      <c r="C313" s="4" t="s">
        <v>562</v>
      </c>
      <c r="D313" s="8">
        <v>1.1000000000000001</v>
      </c>
      <c r="E313" s="9" t="s">
        <v>546</v>
      </c>
      <c r="F313" s="4" t="s">
        <v>544</v>
      </c>
      <c r="G313" s="4" t="s">
        <v>539</v>
      </c>
      <c r="H313" s="4" t="s">
        <v>540</v>
      </c>
      <c r="I313" s="4" t="s">
        <v>540</v>
      </c>
      <c r="J313" s="4" t="s">
        <v>541</v>
      </c>
      <c r="L313" s="4" t="s">
        <v>877</v>
      </c>
      <c r="O313" s="4" t="s">
        <v>1040</v>
      </c>
      <c r="P313" s="4">
        <v>583334135</v>
      </c>
      <c r="R313" s="4">
        <v>7500</v>
      </c>
      <c r="S313">
        <f t="shared" si="8"/>
        <v>8250</v>
      </c>
      <c r="T313" s="7">
        <v>-96</v>
      </c>
      <c r="U313">
        <f t="shared" si="9"/>
        <v>330</v>
      </c>
      <c r="V313" s="15">
        <v>0.61499999999999999</v>
      </c>
      <c r="W313" s="16">
        <v>0.62</v>
      </c>
      <c r="BB313" s="20" t="str">
        <f>HYPERLINK("https://view.gem360.in/gem360/0106230723-HN-717/gem360-0106230723-HN-717.html","https://view.gem360.in/gem360/0106230723-HN-717/gem360-0106230723-HN-717.html")</f>
        <v>https://view.gem360.in/gem360/0106230723-HN-717/gem360-0106230723-HN-717.html</v>
      </c>
    </row>
    <row r="314" spans="1:54" ht="16" x14ac:dyDescent="0.2">
      <c r="A314" s="4" t="s">
        <v>374</v>
      </c>
      <c r="B314" s="7" t="s">
        <v>536</v>
      </c>
      <c r="C314" s="4" t="s">
        <v>562</v>
      </c>
      <c r="D314" s="8">
        <v>1.01</v>
      </c>
      <c r="E314" s="9" t="s">
        <v>536</v>
      </c>
      <c r="F314" s="4" t="s">
        <v>549</v>
      </c>
      <c r="G314" s="4" t="s">
        <v>539</v>
      </c>
      <c r="H314" s="4" t="s">
        <v>540</v>
      </c>
      <c r="I314" s="4" t="s">
        <v>540</v>
      </c>
      <c r="J314" s="4" t="s">
        <v>541</v>
      </c>
      <c r="L314" s="4" t="s">
        <v>878</v>
      </c>
      <c r="O314" s="4" t="s">
        <v>1040</v>
      </c>
      <c r="P314" s="4">
        <v>576332075</v>
      </c>
      <c r="R314" s="4">
        <v>5000</v>
      </c>
      <c r="S314">
        <f t="shared" si="8"/>
        <v>5050</v>
      </c>
      <c r="T314" s="7">
        <v>-96</v>
      </c>
      <c r="U314">
        <f t="shared" si="9"/>
        <v>202</v>
      </c>
      <c r="V314" s="16">
        <v>0.6</v>
      </c>
      <c r="W314" s="15">
        <v>0.58499999999999996</v>
      </c>
      <c r="BB314" s="20" t="str">
        <f>HYPERLINK("https://view.gem360.in/gem360/2004230937-HN-160-7/gem360-2004230937-HN-160-7.html","https://view.gem360.in/gem360/2004230937-HN-160-7/gem360-2004230937-HN-160-7.html")</f>
        <v>https://view.gem360.in/gem360/2004230937-HN-160-7/gem360-2004230937-HN-160-7.html</v>
      </c>
    </row>
    <row r="315" spans="1:54" ht="16" x14ac:dyDescent="0.2">
      <c r="A315" s="4" t="s">
        <v>375</v>
      </c>
      <c r="B315" s="7" t="s">
        <v>536</v>
      </c>
      <c r="C315" s="4" t="s">
        <v>563</v>
      </c>
      <c r="D315" s="8">
        <v>3.07</v>
      </c>
      <c r="E315" s="9" t="s">
        <v>555</v>
      </c>
      <c r="F315" s="4" t="s">
        <v>544</v>
      </c>
      <c r="G315" s="4" t="s">
        <v>539</v>
      </c>
      <c r="H315" s="4" t="s">
        <v>540</v>
      </c>
      <c r="I315" s="4" t="s">
        <v>540</v>
      </c>
      <c r="J315" s="4" t="s">
        <v>541</v>
      </c>
      <c r="L315" s="4" t="s">
        <v>879</v>
      </c>
      <c r="O315" s="4" t="s">
        <v>1040</v>
      </c>
      <c r="P315" s="4">
        <v>570376253</v>
      </c>
      <c r="R315" s="4">
        <v>17000</v>
      </c>
      <c r="S315">
        <f t="shared" si="8"/>
        <v>52190</v>
      </c>
      <c r="T315" s="7">
        <v>-96</v>
      </c>
      <c r="U315">
        <f t="shared" si="9"/>
        <v>2087.6</v>
      </c>
      <c r="V315" s="16">
        <v>0.69</v>
      </c>
      <c r="W315" s="16">
        <v>0.63</v>
      </c>
      <c r="BB315" s="20" t="str">
        <f>HYPERLINK("https://v360.in/diamondview.aspx?cid=preet&amp;d=HN-148-14","https://v360.in/diamondview.aspx?cid=preet&amp;d=HN-148-14")</f>
        <v>https://v360.in/diamondview.aspx?cid=preet&amp;d=HN-148-14</v>
      </c>
    </row>
    <row r="316" spans="1:54" ht="16" x14ac:dyDescent="0.2">
      <c r="A316" s="4" t="s">
        <v>376</v>
      </c>
      <c r="B316" s="7" t="s">
        <v>536</v>
      </c>
      <c r="C316" s="4" t="s">
        <v>563</v>
      </c>
      <c r="D316" s="8">
        <v>3.05</v>
      </c>
      <c r="E316" s="9" t="s">
        <v>536</v>
      </c>
      <c r="F316" s="4" t="s">
        <v>538</v>
      </c>
      <c r="G316" s="4" t="s">
        <v>539</v>
      </c>
      <c r="H316" s="4" t="s">
        <v>540</v>
      </c>
      <c r="I316" s="4" t="s">
        <v>540</v>
      </c>
      <c r="J316" s="4" t="s">
        <v>541</v>
      </c>
      <c r="L316" s="4" t="s">
        <v>880</v>
      </c>
      <c r="O316" s="4" t="s">
        <v>1040</v>
      </c>
      <c r="P316" s="4">
        <v>561259441</v>
      </c>
      <c r="R316" s="4">
        <v>20500</v>
      </c>
      <c r="S316">
        <f t="shared" si="8"/>
        <v>62524.999999999993</v>
      </c>
      <c r="T316" s="7">
        <v>-96</v>
      </c>
      <c r="U316">
        <f t="shared" si="9"/>
        <v>2501</v>
      </c>
      <c r="V316" s="15">
        <v>0.67800000000000005</v>
      </c>
      <c r="W316" s="15">
        <v>0.69499999999999995</v>
      </c>
      <c r="BB316" s="20" t="str">
        <f>HYPERLINK("https://v360.in/diamondview.aspx?cid=preet&amp;d=HN-130-31","https://v360.in/diamondview.aspx?cid=preet&amp;d=HN-130-31")</f>
        <v>https://v360.in/diamondview.aspx?cid=preet&amp;d=HN-130-31</v>
      </c>
    </row>
    <row r="317" spans="1:54" ht="16" x14ac:dyDescent="0.2">
      <c r="A317" s="4" t="s">
        <v>377</v>
      </c>
      <c r="B317" s="7" t="s">
        <v>536</v>
      </c>
      <c r="C317" s="4" t="s">
        <v>563</v>
      </c>
      <c r="D317" s="8">
        <v>3.03</v>
      </c>
      <c r="E317" s="9" t="s">
        <v>536</v>
      </c>
      <c r="F317" s="4" t="s">
        <v>538</v>
      </c>
      <c r="G317" s="4" t="s">
        <v>539</v>
      </c>
      <c r="H317" s="4" t="s">
        <v>540</v>
      </c>
      <c r="I317" s="4" t="s">
        <v>540</v>
      </c>
      <c r="J317" s="4" t="s">
        <v>541</v>
      </c>
      <c r="L317" s="4" t="s">
        <v>881</v>
      </c>
      <c r="O317" s="4" t="s">
        <v>1040</v>
      </c>
      <c r="P317" s="4">
        <v>553259920</v>
      </c>
      <c r="R317" s="4">
        <v>20500</v>
      </c>
      <c r="S317">
        <f t="shared" si="8"/>
        <v>62114.999999999993</v>
      </c>
      <c r="T317" s="7">
        <v>-96</v>
      </c>
      <c r="U317">
        <f t="shared" si="9"/>
        <v>2484.6</v>
      </c>
      <c r="V317" s="15">
        <v>0.66200000000000003</v>
      </c>
      <c r="W317" s="16">
        <v>0.63</v>
      </c>
      <c r="BB317" s="20" t="str">
        <f>HYPERLINK("https://v360.in/diamondview.aspx?cid=preet&amp;d=HN-128-01","https://v360.in/diamondview.aspx?cid=preet&amp;d=HN-128-01")</f>
        <v>https://v360.in/diamondview.aspx?cid=preet&amp;d=HN-128-01</v>
      </c>
    </row>
    <row r="318" spans="1:54" ht="16" x14ac:dyDescent="0.2">
      <c r="A318" s="4" t="s">
        <v>378</v>
      </c>
      <c r="B318" s="7" t="s">
        <v>536</v>
      </c>
      <c r="C318" s="4" t="s">
        <v>563</v>
      </c>
      <c r="D318" s="8">
        <v>3.02</v>
      </c>
      <c r="E318" s="9" t="s">
        <v>555</v>
      </c>
      <c r="F318" s="4" t="s">
        <v>544</v>
      </c>
      <c r="G318" s="4" t="s">
        <v>539</v>
      </c>
      <c r="H318" s="4" t="s">
        <v>540</v>
      </c>
      <c r="I318" s="4" t="s">
        <v>540</v>
      </c>
      <c r="J318" s="4" t="s">
        <v>541</v>
      </c>
      <c r="L318" s="4" t="s">
        <v>882</v>
      </c>
      <c r="O318" s="4" t="s">
        <v>1040</v>
      </c>
      <c r="P318" s="4">
        <v>522254001</v>
      </c>
      <c r="R318" s="4">
        <v>17000</v>
      </c>
      <c r="S318">
        <f t="shared" si="8"/>
        <v>51340</v>
      </c>
      <c r="T318" s="7">
        <v>-96</v>
      </c>
      <c r="U318">
        <f t="shared" si="9"/>
        <v>2053.6</v>
      </c>
      <c r="V318" s="15">
        <v>0.69599999999999995</v>
      </c>
      <c r="W318" s="16">
        <v>0.66</v>
      </c>
      <c r="BB318" s="20" t="str">
        <f>HYPERLINK("","")</f>
        <v/>
      </c>
    </row>
    <row r="319" spans="1:54" ht="16" x14ac:dyDescent="0.2">
      <c r="A319" s="4" t="s">
        <v>379</v>
      </c>
      <c r="B319" s="7" t="s">
        <v>536</v>
      </c>
      <c r="C319" s="4" t="s">
        <v>563</v>
      </c>
      <c r="D319" s="8">
        <v>3.01</v>
      </c>
      <c r="E319" s="9" t="s">
        <v>536</v>
      </c>
      <c r="F319" s="4" t="s">
        <v>544</v>
      </c>
      <c r="G319" s="4" t="s">
        <v>539</v>
      </c>
      <c r="H319" s="4" t="s">
        <v>540</v>
      </c>
      <c r="I319" s="4" t="s">
        <v>540</v>
      </c>
      <c r="J319" s="4" t="s">
        <v>541</v>
      </c>
      <c r="L319" s="4" t="s">
        <v>883</v>
      </c>
      <c r="O319" s="4" t="s">
        <v>1040</v>
      </c>
      <c r="P319" s="4">
        <v>570376254</v>
      </c>
      <c r="R319" s="4">
        <v>22500</v>
      </c>
      <c r="S319">
        <f t="shared" si="8"/>
        <v>67725</v>
      </c>
      <c r="T319" s="7">
        <v>-96</v>
      </c>
      <c r="U319">
        <f t="shared" si="9"/>
        <v>2709</v>
      </c>
      <c r="V319" s="15">
        <v>0.65800000000000003</v>
      </c>
      <c r="W319" s="15">
        <v>0.72499999999999998</v>
      </c>
      <c r="BB319" s="20" t="str">
        <f>HYPERLINK("https://v360.in/diamondview.aspx?cid=preet&amp;d=HN-142-25","https://v360.in/diamondview.aspx?cid=preet&amp;d=HN-142-25")</f>
        <v>https://v360.in/diamondview.aspx?cid=preet&amp;d=HN-142-25</v>
      </c>
    </row>
    <row r="320" spans="1:54" ht="16" x14ac:dyDescent="0.2">
      <c r="A320" s="4" t="s">
        <v>380</v>
      </c>
      <c r="B320" s="7" t="s">
        <v>536</v>
      </c>
      <c r="C320" s="4" t="s">
        <v>563</v>
      </c>
      <c r="D320" s="8">
        <v>3</v>
      </c>
      <c r="E320" s="9" t="s">
        <v>542</v>
      </c>
      <c r="F320" s="4" t="s">
        <v>538</v>
      </c>
      <c r="G320" s="4" t="s">
        <v>539</v>
      </c>
      <c r="H320" s="4" t="s">
        <v>540</v>
      </c>
      <c r="I320" s="4" t="s">
        <v>551</v>
      </c>
      <c r="J320" s="4" t="s">
        <v>541</v>
      </c>
      <c r="L320" s="4" t="s">
        <v>884</v>
      </c>
      <c r="O320" s="4" t="s">
        <v>1040</v>
      </c>
      <c r="P320" s="4">
        <v>571301886</v>
      </c>
      <c r="R320" s="4">
        <v>18000</v>
      </c>
      <c r="S320">
        <f t="shared" si="8"/>
        <v>54000</v>
      </c>
      <c r="T320" s="7">
        <v>-96</v>
      </c>
      <c r="U320">
        <f t="shared" si="9"/>
        <v>2160</v>
      </c>
      <c r="V320" s="15">
        <v>0.71299999999999997</v>
      </c>
      <c r="W320" s="16">
        <v>0.68</v>
      </c>
      <c r="BB320" s="20" t="str">
        <f>HYPERLINK("https://v360.in/diamondview.aspx?cid=preet&amp;d=HN-141-12","https://v360.in/diamondview.aspx?cid=preet&amp;d=HN-141-12")</f>
        <v>https://v360.in/diamondview.aspx?cid=preet&amp;d=HN-141-12</v>
      </c>
    </row>
    <row r="321" spans="1:54" ht="16" x14ac:dyDescent="0.2">
      <c r="A321" s="4" t="s">
        <v>381</v>
      </c>
      <c r="B321" s="7" t="s">
        <v>536</v>
      </c>
      <c r="C321" s="4" t="s">
        <v>563</v>
      </c>
      <c r="D321" s="8">
        <v>2.59</v>
      </c>
      <c r="E321" s="9" t="s">
        <v>548</v>
      </c>
      <c r="F321" s="4" t="s">
        <v>549</v>
      </c>
      <c r="G321" s="4" t="s">
        <v>539</v>
      </c>
      <c r="H321" s="4" t="s">
        <v>540</v>
      </c>
      <c r="I321" s="4" t="s">
        <v>540</v>
      </c>
      <c r="J321" s="4" t="s">
        <v>541</v>
      </c>
      <c r="L321" s="4" t="s">
        <v>885</v>
      </c>
      <c r="O321" s="4" t="s">
        <v>1040</v>
      </c>
      <c r="P321" s="4">
        <v>559298591</v>
      </c>
      <c r="R321" s="4">
        <v>13500</v>
      </c>
      <c r="S321">
        <f t="shared" si="8"/>
        <v>34965</v>
      </c>
      <c r="T321" s="7">
        <v>-96</v>
      </c>
      <c r="U321">
        <f t="shared" si="9"/>
        <v>1398.6</v>
      </c>
      <c r="V321" s="15">
        <v>0.67400000000000004</v>
      </c>
      <c r="W321" s="4">
        <v>67</v>
      </c>
      <c r="BB321" s="20" t="str">
        <f>HYPERLINK("https://v360.in/diamondview.aspx?cid=preet&amp;d=HN-130-2","https://v360.in/diamondview.aspx?cid=preet&amp;d=HN-130-2")</f>
        <v>https://v360.in/diamondview.aspx?cid=preet&amp;d=HN-130-2</v>
      </c>
    </row>
    <row r="322" spans="1:54" ht="16" x14ac:dyDescent="0.2">
      <c r="A322" s="4" t="s">
        <v>382</v>
      </c>
      <c r="B322" s="7" t="s">
        <v>536</v>
      </c>
      <c r="C322" s="4" t="s">
        <v>563</v>
      </c>
      <c r="D322" s="8">
        <v>2.5499999999999998</v>
      </c>
      <c r="E322" s="9" t="s">
        <v>542</v>
      </c>
      <c r="F322" s="4" t="s">
        <v>538</v>
      </c>
      <c r="G322" s="4" t="s">
        <v>539</v>
      </c>
      <c r="H322" s="4" t="s">
        <v>540</v>
      </c>
      <c r="I322" s="4" t="s">
        <v>540</v>
      </c>
      <c r="J322" s="4" t="s">
        <v>541</v>
      </c>
      <c r="L322" s="4" t="s">
        <v>886</v>
      </c>
      <c r="O322" s="4" t="s">
        <v>1040</v>
      </c>
      <c r="P322" s="4">
        <v>522253996</v>
      </c>
      <c r="R322" s="4">
        <v>12000</v>
      </c>
      <c r="S322">
        <f t="shared" si="8"/>
        <v>30599.999999999996</v>
      </c>
      <c r="T322" s="7">
        <v>-96</v>
      </c>
      <c r="U322">
        <f t="shared" si="9"/>
        <v>1224</v>
      </c>
      <c r="V322" s="16">
        <v>0.7</v>
      </c>
      <c r="W322" s="16">
        <v>0.67</v>
      </c>
      <c r="BB322" s="20" t="str">
        <f>HYPERLINK("https://view.gem360.in/gem360/1504220508-HN52-46/gem360-1504220508-HN52-46.html","https://view.gem360.in/gem360/1504220508-HN52-46/gem360-1504220508-HN52-46.html")</f>
        <v>https://view.gem360.in/gem360/1504220508-HN52-46/gem360-1504220508-HN52-46.html</v>
      </c>
    </row>
    <row r="323" spans="1:54" ht="16" x14ac:dyDescent="0.2">
      <c r="A323" s="4" t="s">
        <v>383</v>
      </c>
      <c r="B323" s="7" t="s">
        <v>536</v>
      </c>
      <c r="C323" s="4" t="s">
        <v>563</v>
      </c>
      <c r="D323" s="8">
        <v>2.52</v>
      </c>
      <c r="E323" s="9" t="s">
        <v>546</v>
      </c>
      <c r="F323" s="4" t="s">
        <v>549</v>
      </c>
      <c r="G323" s="4" t="s">
        <v>539</v>
      </c>
      <c r="H323" s="4" t="s">
        <v>540</v>
      </c>
      <c r="I323" s="4" t="s">
        <v>540</v>
      </c>
      <c r="J323" s="4" t="s">
        <v>541</v>
      </c>
      <c r="L323" s="4" t="s">
        <v>887</v>
      </c>
      <c r="O323" s="4" t="s">
        <v>1040</v>
      </c>
      <c r="P323" s="4">
        <v>553259836</v>
      </c>
      <c r="R323" s="4">
        <v>12700</v>
      </c>
      <c r="S323">
        <f t="shared" ref="S323:S386" si="10">R323*D323</f>
        <v>32004</v>
      </c>
      <c r="T323" s="7">
        <v>-96</v>
      </c>
      <c r="U323">
        <f t="shared" ref="U323:U386" si="11">(R323+(R323*T323)/100)*D323</f>
        <v>1280.1600000000001</v>
      </c>
      <c r="V323" s="15">
        <v>0.64200000000000002</v>
      </c>
      <c r="W323" s="16">
        <v>0.65</v>
      </c>
      <c r="BB323" s="20" t="str">
        <f>HYPERLINK("https://v360.in/diamondview.aspx?cid=preet&amp;d=HN-128-02","https://v360.in/diamondview.aspx?cid=preet&amp;d=HN-128-02")</f>
        <v>https://v360.in/diamondview.aspx?cid=preet&amp;d=HN-128-02</v>
      </c>
    </row>
    <row r="324" spans="1:54" ht="16" x14ac:dyDescent="0.2">
      <c r="A324" s="4" t="s">
        <v>384</v>
      </c>
      <c r="B324" s="7" t="s">
        <v>536</v>
      </c>
      <c r="C324" s="4" t="s">
        <v>563</v>
      </c>
      <c r="D324" s="8">
        <v>2.5</v>
      </c>
      <c r="E324" s="9" t="s">
        <v>536</v>
      </c>
      <c r="F324" s="4" t="s">
        <v>544</v>
      </c>
      <c r="G324" s="4" t="s">
        <v>539</v>
      </c>
      <c r="H324" s="4" t="s">
        <v>540</v>
      </c>
      <c r="I324" s="4" t="s">
        <v>540</v>
      </c>
      <c r="J324" s="4" t="s">
        <v>541</v>
      </c>
      <c r="L324" s="4" t="s">
        <v>888</v>
      </c>
      <c r="O324" s="4" t="s">
        <v>1040</v>
      </c>
      <c r="P324" s="4">
        <v>571301006</v>
      </c>
      <c r="R324" s="4">
        <v>15500</v>
      </c>
      <c r="S324">
        <f t="shared" si="10"/>
        <v>38750</v>
      </c>
      <c r="T324" s="7">
        <v>-96</v>
      </c>
      <c r="U324">
        <f t="shared" si="11"/>
        <v>1550</v>
      </c>
      <c r="V324" s="15">
        <v>0.69499999999999995</v>
      </c>
      <c r="W324" s="16">
        <v>0.65</v>
      </c>
      <c r="BB324" s="20" t="str">
        <f>HYPERLINK("https://v360.in/diamondview.aspx?cid=preet&amp;d=HN-141-11","https://v360.in/diamondview.aspx?cid=preet&amp;d=HN-141-11")</f>
        <v>https://v360.in/diamondview.aspx?cid=preet&amp;d=HN-141-11</v>
      </c>
    </row>
    <row r="325" spans="1:54" ht="16" x14ac:dyDescent="0.2">
      <c r="A325" s="4" t="s">
        <v>385</v>
      </c>
      <c r="B325" s="7" t="s">
        <v>536</v>
      </c>
      <c r="C325" s="4" t="s">
        <v>563</v>
      </c>
      <c r="D325" s="8">
        <v>2.36</v>
      </c>
      <c r="E325" s="9" t="s">
        <v>536</v>
      </c>
      <c r="F325" s="4" t="s">
        <v>538</v>
      </c>
      <c r="G325" s="4" t="s">
        <v>539</v>
      </c>
      <c r="H325" s="4" t="s">
        <v>540</v>
      </c>
      <c r="I325" s="4" t="s">
        <v>540</v>
      </c>
      <c r="J325" s="4" t="s">
        <v>541</v>
      </c>
      <c r="L325" s="4" t="s">
        <v>889</v>
      </c>
      <c r="O325" s="4" t="s">
        <v>1040</v>
      </c>
      <c r="P325" s="4">
        <v>559298585</v>
      </c>
      <c r="R325" s="4">
        <v>14500</v>
      </c>
      <c r="S325">
        <f t="shared" si="10"/>
        <v>34220</v>
      </c>
      <c r="T325" s="7">
        <v>-96</v>
      </c>
      <c r="U325">
        <f t="shared" si="11"/>
        <v>1368.8</v>
      </c>
      <c r="V325" s="15">
        <v>0.67600000000000005</v>
      </c>
      <c r="W325" s="4">
        <v>64</v>
      </c>
      <c r="BB325" s="20" t="str">
        <f>HYPERLINK("https://v360.in/diamondview.aspx?cid=preet&amp;d=HN-129-9","https://v360.in/diamondview.aspx?cid=preet&amp;d=HN-129-9")</f>
        <v>https://v360.in/diamondview.aspx?cid=preet&amp;d=HN-129-9</v>
      </c>
    </row>
    <row r="326" spans="1:54" ht="16" x14ac:dyDescent="0.2">
      <c r="A326" s="4" t="s">
        <v>386</v>
      </c>
      <c r="B326" s="7" t="s">
        <v>536</v>
      </c>
      <c r="C326" s="4" t="s">
        <v>563</v>
      </c>
      <c r="D326" s="8">
        <v>2.34</v>
      </c>
      <c r="E326" s="9" t="s">
        <v>536</v>
      </c>
      <c r="F326" s="4" t="s">
        <v>549</v>
      </c>
      <c r="G326" s="4" t="s">
        <v>539</v>
      </c>
      <c r="H326" s="4" t="s">
        <v>540</v>
      </c>
      <c r="I326" s="4" t="s">
        <v>540</v>
      </c>
      <c r="J326" s="4" t="s">
        <v>541</v>
      </c>
      <c r="L326" s="4" t="s">
        <v>890</v>
      </c>
      <c r="O326" s="4" t="s">
        <v>1040</v>
      </c>
      <c r="P326" s="4">
        <v>553217191</v>
      </c>
      <c r="R326" s="4">
        <v>11700</v>
      </c>
      <c r="S326">
        <f t="shared" si="10"/>
        <v>27378</v>
      </c>
      <c r="T326" s="7">
        <v>-96</v>
      </c>
      <c r="U326">
        <f t="shared" si="11"/>
        <v>1095.1199999999999</v>
      </c>
      <c r="V326" s="15">
        <v>0.61299999999999999</v>
      </c>
      <c r="W326" s="15">
        <v>0.71499999999999997</v>
      </c>
      <c r="BB326" s="20" t="str">
        <f>HYPERLINK("https://v360.in/diamondview.aspx?cid=preet&amp;d=HN-127-1","https://v360.in/diamondview.aspx?cid=preet&amp;d=HN-127-1")</f>
        <v>https://v360.in/diamondview.aspx?cid=preet&amp;d=HN-127-1</v>
      </c>
    </row>
    <row r="327" spans="1:54" ht="16" x14ac:dyDescent="0.2">
      <c r="A327" s="4" t="s">
        <v>387</v>
      </c>
      <c r="B327" s="7" t="s">
        <v>536</v>
      </c>
      <c r="C327" s="4" t="s">
        <v>563</v>
      </c>
      <c r="D327" s="8">
        <v>2.33</v>
      </c>
      <c r="E327" s="9" t="s">
        <v>536</v>
      </c>
      <c r="F327" s="4" t="s">
        <v>549</v>
      </c>
      <c r="G327" s="4" t="s">
        <v>539</v>
      </c>
      <c r="H327" s="4" t="s">
        <v>540</v>
      </c>
      <c r="I327" s="4" t="s">
        <v>540</v>
      </c>
      <c r="J327" s="4" t="s">
        <v>541</v>
      </c>
      <c r="L327" s="4" t="s">
        <v>891</v>
      </c>
      <c r="O327" s="4" t="s">
        <v>1040</v>
      </c>
      <c r="P327" s="4">
        <v>523279510</v>
      </c>
      <c r="R327" s="4">
        <v>11700</v>
      </c>
      <c r="S327">
        <f t="shared" si="10"/>
        <v>27261</v>
      </c>
      <c r="T327" s="7">
        <v>-96</v>
      </c>
      <c r="U327">
        <f t="shared" si="11"/>
        <v>1090.44</v>
      </c>
      <c r="V327" s="15">
        <v>0.71199999999999997</v>
      </c>
      <c r="W327" s="15">
        <v>0.64500000000000002</v>
      </c>
      <c r="BB327" s="20" t="str">
        <f>HYPERLINK("https://view.gem360.in/gem360/2304220619-HN52-34/gem360-2304220619-HN52-34.html","https://view.gem360.in/gem360/2304220619-HN52-34/gem360-2304220619-HN52-34.html")</f>
        <v>https://view.gem360.in/gem360/2304220619-HN52-34/gem360-2304220619-HN52-34.html</v>
      </c>
    </row>
    <row r="328" spans="1:54" ht="16" x14ac:dyDescent="0.2">
      <c r="A328" s="4" t="s">
        <v>388</v>
      </c>
      <c r="B328" s="7" t="s">
        <v>536</v>
      </c>
      <c r="C328" s="4" t="s">
        <v>563</v>
      </c>
      <c r="D328" s="8">
        <v>2.2999999999999998</v>
      </c>
      <c r="E328" s="9" t="s">
        <v>536</v>
      </c>
      <c r="F328" s="4" t="s">
        <v>544</v>
      </c>
      <c r="G328" s="4" t="s">
        <v>539</v>
      </c>
      <c r="H328" s="4" t="s">
        <v>540</v>
      </c>
      <c r="I328" s="4" t="s">
        <v>540</v>
      </c>
      <c r="J328" s="4" t="s">
        <v>541</v>
      </c>
      <c r="L328" s="4" t="s">
        <v>892</v>
      </c>
      <c r="O328" s="4" t="s">
        <v>1040</v>
      </c>
      <c r="P328" s="4">
        <v>571301005</v>
      </c>
      <c r="R328" s="4">
        <v>15500</v>
      </c>
      <c r="S328">
        <f t="shared" si="10"/>
        <v>35650</v>
      </c>
      <c r="T328" s="7">
        <v>-96</v>
      </c>
      <c r="U328">
        <f t="shared" si="11"/>
        <v>1426</v>
      </c>
      <c r="V328" s="15">
        <v>0.622</v>
      </c>
      <c r="W328" s="15">
        <v>0.65500000000000003</v>
      </c>
      <c r="BB328" s="20" t="str">
        <f>HYPERLINK("https://v360.in/diamondview.aspx?cid=preet&amp;d=HN-141-10","https://v360.in/diamondview.aspx?cid=preet&amp;d=HN-141-10")</f>
        <v>https://v360.in/diamondview.aspx?cid=preet&amp;d=HN-141-10</v>
      </c>
    </row>
    <row r="329" spans="1:54" ht="16" x14ac:dyDescent="0.2">
      <c r="A329" s="4" t="s">
        <v>389</v>
      </c>
      <c r="B329" s="7" t="s">
        <v>536</v>
      </c>
      <c r="C329" s="4" t="s">
        <v>563</v>
      </c>
      <c r="D329" s="8">
        <v>2.21</v>
      </c>
      <c r="E329" s="9" t="s">
        <v>536</v>
      </c>
      <c r="F329" s="4" t="s">
        <v>544</v>
      </c>
      <c r="G329" s="4" t="s">
        <v>539</v>
      </c>
      <c r="H329" s="4" t="s">
        <v>540</v>
      </c>
      <c r="I329" s="4" t="s">
        <v>540</v>
      </c>
      <c r="J329" s="4" t="s">
        <v>541</v>
      </c>
      <c r="L329" s="4" t="s">
        <v>893</v>
      </c>
      <c r="O329" s="4" t="s">
        <v>1040</v>
      </c>
      <c r="P329" s="4">
        <v>575396030</v>
      </c>
      <c r="R329" s="4">
        <v>15500</v>
      </c>
      <c r="S329">
        <f t="shared" si="10"/>
        <v>34255</v>
      </c>
      <c r="T329" s="7">
        <v>-96</v>
      </c>
      <c r="U329">
        <f t="shared" si="11"/>
        <v>1370.2</v>
      </c>
      <c r="V329" s="15">
        <v>0.61299999999999999</v>
      </c>
      <c r="W329" s="16">
        <v>0.63</v>
      </c>
      <c r="BB329" s="20" t="str">
        <f>HYPERLINK("https://view.gem360.in/gem360/1704230617-HN-159-19/gem360-1704230617-HN-159-19.html","https://view.gem360.in/gem360/1704230617-HN-159-19/gem360-1704230617-HN-159-19.html")</f>
        <v>https://view.gem360.in/gem360/1704230617-HN-159-19/gem360-1704230617-HN-159-19.html</v>
      </c>
    </row>
    <row r="330" spans="1:54" ht="16" x14ac:dyDescent="0.2">
      <c r="A330" s="4" t="s">
        <v>390</v>
      </c>
      <c r="B330" s="7" t="s">
        <v>536</v>
      </c>
      <c r="C330" s="4" t="s">
        <v>563</v>
      </c>
      <c r="D330" s="8">
        <v>2.17</v>
      </c>
      <c r="E330" s="9" t="s">
        <v>546</v>
      </c>
      <c r="F330" s="4" t="s">
        <v>544</v>
      </c>
      <c r="G330" s="4" t="s">
        <v>539</v>
      </c>
      <c r="H330" s="4" t="s">
        <v>540</v>
      </c>
      <c r="I330" s="4" t="s">
        <v>540</v>
      </c>
      <c r="J330" s="4" t="s">
        <v>541</v>
      </c>
      <c r="L330" s="4" t="s">
        <v>894</v>
      </c>
      <c r="O330" s="4" t="s">
        <v>1040</v>
      </c>
      <c r="P330" s="4">
        <v>523271700</v>
      </c>
      <c r="R330" s="4">
        <v>17000</v>
      </c>
      <c r="S330">
        <f t="shared" si="10"/>
        <v>36890</v>
      </c>
      <c r="T330" s="7">
        <v>-96</v>
      </c>
      <c r="U330">
        <f t="shared" si="11"/>
        <v>1475.6</v>
      </c>
      <c r="V330" s="16">
        <v>0.7</v>
      </c>
      <c r="W330" s="15">
        <v>0.61499999999999999</v>
      </c>
      <c r="BB330" s="20" t="str">
        <f>HYPERLINK("","")</f>
        <v/>
      </c>
    </row>
    <row r="331" spans="1:54" ht="16" x14ac:dyDescent="0.2">
      <c r="A331" s="4" t="s">
        <v>391</v>
      </c>
      <c r="B331" s="7" t="s">
        <v>536</v>
      </c>
      <c r="C331" s="4" t="s">
        <v>563</v>
      </c>
      <c r="D331" s="8">
        <v>2.15</v>
      </c>
      <c r="E331" s="9" t="s">
        <v>546</v>
      </c>
      <c r="F331" s="4" t="s">
        <v>538</v>
      </c>
      <c r="G331" s="4" t="s">
        <v>539</v>
      </c>
      <c r="H331" s="4" t="s">
        <v>540</v>
      </c>
      <c r="I331" s="4" t="s">
        <v>540</v>
      </c>
      <c r="J331" s="4" t="s">
        <v>541</v>
      </c>
      <c r="L331" s="4" t="s">
        <v>895</v>
      </c>
      <c r="O331" s="4" t="s">
        <v>1040</v>
      </c>
      <c r="P331" s="4">
        <v>559298582</v>
      </c>
      <c r="R331" s="4">
        <v>15500</v>
      </c>
      <c r="S331">
        <f t="shared" si="10"/>
        <v>33325</v>
      </c>
      <c r="T331" s="7">
        <v>-96</v>
      </c>
      <c r="U331">
        <f t="shared" si="11"/>
        <v>1333</v>
      </c>
      <c r="V331" s="15">
        <v>0.69299999999999995</v>
      </c>
      <c r="W331" s="15">
        <v>0.69499999999999995</v>
      </c>
      <c r="BB331" s="20" t="str">
        <f>HYPERLINK("https://v360.in/diamondview.aspx?cid=preet&amp;d=HN-129-12","https://v360.in/diamondview.aspx?cid=preet&amp;d=HN-129-12")</f>
        <v>https://v360.in/diamondview.aspx?cid=preet&amp;d=HN-129-12</v>
      </c>
    </row>
    <row r="332" spans="1:54" ht="16" x14ac:dyDescent="0.2">
      <c r="A332" s="4" t="s">
        <v>392</v>
      </c>
      <c r="B332" s="7" t="s">
        <v>536</v>
      </c>
      <c r="C332" s="4" t="s">
        <v>563</v>
      </c>
      <c r="D332" s="8">
        <v>2.14</v>
      </c>
      <c r="E332" s="9" t="s">
        <v>546</v>
      </c>
      <c r="F332" s="4" t="s">
        <v>544</v>
      </c>
      <c r="G332" s="4" t="s">
        <v>539</v>
      </c>
      <c r="H332" s="4" t="s">
        <v>540</v>
      </c>
      <c r="I332" s="4" t="s">
        <v>540</v>
      </c>
      <c r="J332" s="4" t="s">
        <v>541</v>
      </c>
      <c r="L332" s="4" t="s">
        <v>896</v>
      </c>
      <c r="O332" s="4" t="s">
        <v>1040</v>
      </c>
      <c r="P332" s="4">
        <v>559298583</v>
      </c>
      <c r="R332" s="4">
        <v>17000</v>
      </c>
      <c r="S332">
        <f t="shared" si="10"/>
        <v>36380</v>
      </c>
      <c r="T332" s="7">
        <v>-96</v>
      </c>
      <c r="U332">
        <f t="shared" si="11"/>
        <v>1455.2</v>
      </c>
      <c r="V332" s="15">
        <v>0.68300000000000005</v>
      </c>
      <c r="W332" s="15">
        <v>0.66500000000000004</v>
      </c>
      <c r="BB332" s="20" t="str">
        <f>HYPERLINK("https://v360.in/diamondview.aspx?cid=preet&amp;d=HN-129-13","https://v360.in/diamondview.aspx?cid=preet&amp;d=HN-129-13")</f>
        <v>https://v360.in/diamondview.aspx?cid=preet&amp;d=HN-129-13</v>
      </c>
    </row>
    <row r="333" spans="1:54" ht="16" x14ac:dyDescent="0.2">
      <c r="A333" s="4" t="s">
        <v>393</v>
      </c>
      <c r="B333" s="7" t="s">
        <v>536</v>
      </c>
      <c r="C333" s="4" t="s">
        <v>563</v>
      </c>
      <c r="D333" s="8">
        <v>2.13</v>
      </c>
      <c r="E333" s="9" t="s">
        <v>546</v>
      </c>
      <c r="F333" s="4" t="s">
        <v>538</v>
      </c>
      <c r="G333" s="4" t="s">
        <v>539</v>
      </c>
      <c r="H333" s="4" t="s">
        <v>540</v>
      </c>
      <c r="I333" s="4" t="s">
        <v>540</v>
      </c>
      <c r="J333" s="4" t="s">
        <v>541</v>
      </c>
      <c r="L333" s="4" t="s">
        <v>897</v>
      </c>
      <c r="O333" s="4" t="s">
        <v>1040</v>
      </c>
      <c r="P333" s="4">
        <v>553217183</v>
      </c>
      <c r="R333" s="4">
        <v>15500</v>
      </c>
      <c r="S333">
        <f t="shared" si="10"/>
        <v>33015</v>
      </c>
      <c r="T333" s="7">
        <v>-96</v>
      </c>
      <c r="U333">
        <f t="shared" si="11"/>
        <v>1320.6</v>
      </c>
      <c r="V333" s="15">
        <v>0.67700000000000005</v>
      </c>
      <c r="W333" s="15">
        <v>0.66500000000000004</v>
      </c>
      <c r="BB333" s="20" t="str">
        <f>HYPERLINK("https://v360.in/diamondview.aspx?cid=preet&amp;d=HN-128-15","https://v360.in/diamondview.aspx?cid=preet&amp;d=HN-128-15")</f>
        <v>https://v360.in/diamondview.aspx?cid=preet&amp;d=HN-128-15</v>
      </c>
    </row>
    <row r="334" spans="1:54" ht="16" x14ac:dyDescent="0.2">
      <c r="A334" s="4" t="s">
        <v>394</v>
      </c>
      <c r="B334" s="7" t="s">
        <v>536</v>
      </c>
      <c r="C334" s="4" t="s">
        <v>563</v>
      </c>
      <c r="D334" s="8">
        <v>2.11</v>
      </c>
      <c r="E334" s="9" t="s">
        <v>542</v>
      </c>
      <c r="F334" s="4" t="s">
        <v>538</v>
      </c>
      <c r="G334" s="4" t="s">
        <v>539</v>
      </c>
      <c r="H334" s="4" t="s">
        <v>540</v>
      </c>
      <c r="I334" s="4" t="s">
        <v>540</v>
      </c>
      <c r="J334" s="4" t="s">
        <v>541</v>
      </c>
      <c r="L334" s="4" t="s">
        <v>898</v>
      </c>
      <c r="O334" s="4" t="s">
        <v>1040</v>
      </c>
      <c r="P334" s="4">
        <v>523298152</v>
      </c>
      <c r="R334" s="4">
        <v>12000</v>
      </c>
      <c r="S334">
        <f t="shared" si="10"/>
        <v>25320</v>
      </c>
      <c r="T334" s="7">
        <v>-96</v>
      </c>
      <c r="U334">
        <f t="shared" si="11"/>
        <v>1012.8</v>
      </c>
      <c r="V334" s="15">
        <v>0.70499999999999996</v>
      </c>
      <c r="W334" s="15">
        <v>0.68500000000000005</v>
      </c>
      <c r="BB334" s="20" t="str">
        <f>HYPERLINK("https://view.gem360.in/gem360/2504220553-HN40-44/gem360-2504220553-HN40-44.html","https://view.gem360.in/gem360/2504220553-HN40-44/gem360-2504220553-HN40-44.html")</f>
        <v>https://view.gem360.in/gem360/2504220553-HN40-44/gem360-2504220553-HN40-44.html</v>
      </c>
    </row>
    <row r="335" spans="1:54" ht="16" x14ac:dyDescent="0.2">
      <c r="A335" s="4" t="s">
        <v>395</v>
      </c>
      <c r="B335" s="7" t="s">
        <v>536</v>
      </c>
      <c r="C335" s="4" t="s">
        <v>563</v>
      </c>
      <c r="D335" s="8">
        <v>2.09</v>
      </c>
      <c r="E335" s="9" t="s">
        <v>536</v>
      </c>
      <c r="F335" s="4" t="s">
        <v>544</v>
      </c>
      <c r="G335" s="4" t="s">
        <v>539</v>
      </c>
      <c r="H335" s="4" t="s">
        <v>540</v>
      </c>
      <c r="I335" s="4" t="s">
        <v>540</v>
      </c>
      <c r="J335" s="4" t="s">
        <v>541</v>
      </c>
      <c r="L335" s="4" t="s">
        <v>899</v>
      </c>
      <c r="O335" s="4" t="s">
        <v>1040</v>
      </c>
      <c r="P335" s="4">
        <v>581346373</v>
      </c>
      <c r="R335" s="4">
        <v>15500</v>
      </c>
      <c r="S335">
        <f t="shared" si="10"/>
        <v>32394.999999999996</v>
      </c>
      <c r="T335" s="7">
        <v>-96</v>
      </c>
      <c r="U335">
        <f t="shared" si="11"/>
        <v>1295.8</v>
      </c>
      <c r="V335" s="15">
        <v>0.61199999999999999</v>
      </c>
      <c r="W335" s="16">
        <v>0.77</v>
      </c>
      <c r="BB335" s="20" t="str">
        <f>HYPERLINK("https://view.gem360.in/gem360/2205230535-HN-166-35/gem360-2205230535-HN-166-35.html","https://view.gem360.in/gem360/2205230535-HN-166-35/gem360-2205230535-HN-166-35.html")</f>
        <v>https://view.gem360.in/gem360/2205230535-HN-166-35/gem360-2205230535-HN-166-35.html</v>
      </c>
    </row>
    <row r="336" spans="1:54" ht="16" x14ac:dyDescent="0.2">
      <c r="A336" s="4" t="s">
        <v>396</v>
      </c>
      <c r="B336" s="7" t="s">
        <v>536</v>
      </c>
      <c r="C336" s="4" t="s">
        <v>563</v>
      </c>
      <c r="D336" s="8">
        <v>2.08</v>
      </c>
      <c r="E336" s="9" t="s">
        <v>546</v>
      </c>
      <c r="F336" s="4" t="s">
        <v>549</v>
      </c>
      <c r="G336" s="4" t="s">
        <v>539</v>
      </c>
      <c r="H336" s="4" t="s">
        <v>540</v>
      </c>
      <c r="I336" s="4" t="s">
        <v>540</v>
      </c>
      <c r="J336" s="4" t="s">
        <v>541</v>
      </c>
      <c r="L336" s="4" t="s">
        <v>900</v>
      </c>
      <c r="O336" s="4" t="s">
        <v>1040</v>
      </c>
      <c r="P336" s="4">
        <v>559298578</v>
      </c>
      <c r="R336" s="4">
        <v>12700</v>
      </c>
      <c r="S336">
        <f t="shared" si="10"/>
        <v>26416</v>
      </c>
      <c r="T336" s="7">
        <v>-96</v>
      </c>
      <c r="U336">
        <f t="shared" si="11"/>
        <v>1056.6400000000001</v>
      </c>
      <c r="V336" s="15">
        <v>0.67100000000000004</v>
      </c>
      <c r="W336" s="4">
        <v>64</v>
      </c>
      <c r="BB336" s="20" t="str">
        <f>HYPERLINK("https://v360.in/diamondview.aspx?cid=preet&amp;d=HN-129-15","https://v360.in/diamondview.aspx?cid=preet&amp;d=HN-129-15")</f>
        <v>https://v360.in/diamondview.aspx?cid=preet&amp;d=HN-129-15</v>
      </c>
    </row>
    <row r="337" spans="1:54" ht="16" x14ac:dyDescent="0.2">
      <c r="A337" s="4" t="s">
        <v>397</v>
      </c>
      <c r="B337" s="7" t="s">
        <v>536</v>
      </c>
      <c r="C337" s="4" t="s">
        <v>563</v>
      </c>
      <c r="D337" s="8">
        <v>2.02</v>
      </c>
      <c r="E337" s="9" t="s">
        <v>548</v>
      </c>
      <c r="F337" s="4" t="s">
        <v>549</v>
      </c>
      <c r="G337" s="4" t="s">
        <v>539</v>
      </c>
      <c r="H337" s="4" t="s">
        <v>540</v>
      </c>
      <c r="I337" s="4" t="s">
        <v>540</v>
      </c>
      <c r="J337" s="4" t="s">
        <v>541</v>
      </c>
      <c r="L337" s="4" t="s">
        <v>901</v>
      </c>
      <c r="O337" s="4" t="s">
        <v>1040</v>
      </c>
      <c r="P337" s="4">
        <v>559298575</v>
      </c>
      <c r="R337" s="4">
        <v>13500</v>
      </c>
      <c r="S337">
        <f t="shared" si="10"/>
        <v>27270</v>
      </c>
      <c r="T337" s="7">
        <v>-96</v>
      </c>
      <c r="U337">
        <f t="shared" si="11"/>
        <v>1090.8</v>
      </c>
      <c r="V337" s="15">
        <v>0.68100000000000005</v>
      </c>
      <c r="W337" s="4">
        <v>68</v>
      </c>
      <c r="BB337" s="20" t="str">
        <f>HYPERLINK("https://v360.in/diamondview.aspx?cid=preet&amp;d=HN-129-25","https://v360.in/diamondview.aspx?cid=preet&amp;d=HN-129-25")</f>
        <v>https://v360.in/diamondview.aspx?cid=preet&amp;d=HN-129-25</v>
      </c>
    </row>
    <row r="338" spans="1:54" ht="16" x14ac:dyDescent="0.2">
      <c r="A338" s="4" t="s">
        <v>398</v>
      </c>
      <c r="B338" s="7" t="s">
        <v>536</v>
      </c>
      <c r="C338" s="4" t="s">
        <v>563</v>
      </c>
      <c r="D338" s="8">
        <v>2.02</v>
      </c>
      <c r="E338" s="9" t="s">
        <v>546</v>
      </c>
      <c r="F338" s="4" t="s">
        <v>553</v>
      </c>
      <c r="G338" s="4" t="s">
        <v>539</v>
      </c>
      <c r="H338" s="4" t="s">
        <v>540</v>
      </c>
      <c r="I338" s="4" t="s">
        <v>540</v>
      </c>
      <c r="J338" s="4" t="s">
        <v>541</v>
      </c>
      <c r="L338" s="4" t="s">
        <v>902</v>
      </c>
      <c r="O338" s="4" t="s">
        <v>1040</v>
      </c>
      <c r="P338" s="4">
        <v>560231281</v>
      </c>
      <c r="R338" s="4">
        <v>10400</v>
      </c>
      <c r="S338">
        <f t="shared" si="10"/>
        <v>21008</v>
      </c>
      <c r="T338" s="7">
        <v>-96</v>
      </c>
      <c r="U338">
        <f t="shared" si="11"/>
        <v>840.32</v>
      </c>
      <c r="V338" s="15">
        <v>0.68600000000000005</v>
      </c>
      <c r="W338" s="15">
        <v>0.63500000000000001</v>
      </c>
      <c r="BB338" s="20" t="str">
        <f>HYPERLINK("https://v360.in/diamondview.aspx?cid=preet&amp;d=HN-129-30","https://v360.in/diamondview.aspx?cid=preet&amp;d=HN-129-30")</f>
        <v>https://v360.in/diamondview.aspx?cid=preet&amp;d=HN-129-30</v>
      </c>
    </row>
    <row r="339" spans="1:54" ht="16" x14ac:dyDescent="0.2">
      <c r="A339" s="4" t="s">
        <v>399</v>
      </c>
      <c r="B339" s="7" t="s">
        <v>536</v>
      </c>
      <c r="C339" s="4" t="s">
        <v>563</v>
      </c>
      <c r="D339" s="8">
        <v>2.0099999999999998</v>
      </c>
      <c r="E339" s="9" t="s">
        <v>546</v>
      </c>
      <c r="F339" s="4" t="s">
        <v>553</v>
      </c>
      <c r="G339" s="4" t="s">
        <v>539</v>
      </c>
      <c r="H339" s="4" t="s">
        <v>540</v>
      </c>
      <c r="I339" s="4" t="s">
        <v>540</v>
      </c>
      <c r="J339" s="4" t="s">
        <v>541</v>
      </c>
      <c r="L339" s="4" t="s">
        <v>903</v>
      </c>
      <c r="O339" s="4" t="s">
        <v>1040</v>
      </c>
      <c r="P339" s="4">
        <v>559298580</v>
      </c>
      <c r="R339" s="4">
        <v>10400</v>
      </c>
      <c r="S339">
        <f t="shared" si="10"/>
        <v>20903.999999999996</v>
      </c>
      <c r="T339" s="7">
        <v>-96</v>
      </c>
      <c r="U339">
        <f t="shared" si="11"/>
        <v>836.15999999999985</v>
      </c>
      <c r="V339" s="15">
        <v>0.67600000000000005</v>
      </c>
      <c r="W339" s="15">
        <v>0.68500000000000005</v>
      </c>
      <c r="BB339" s="20" t="str">
        <f>HYPERLINK("https://v360.in/diamondview.aspx?cid=preet&amp;d=HN-129-14","https://v360.in/diamondview.aspx?cid=preet&amp;d=HN-129-14")</f>
        <v>https://v360.in/diamondview.aspx?cid=preet&amp;d=HN-129-14</v>
      </c>
    </row>
    <row r="340" spans="1:54" ht="16" x14ac:dyDescent="0.2">
      <c r="A340" s="4" t="s">
        <v>400</v>
      </c>
      <c r="B340" s="7" t="s">
        <v>536</v>
      </c>
      <c r="C340" s="4" t="s">
        <v>563</v>
      </c>
      <c r="D340" s="8">
        <v>2.0099999999999998</v>
      </c>
      <c r="E340" s="9" t="s">
        <v>546</v>
      </c>
      <c r="F340" s="4" t="s">
        <v>549</v>
      </c>
      <c r="G340" s="4" t="s">
        <v>539</v>
      </c>
      <c r="H340" s="4" t="s">
        <v>540</v>
      </c>
      <c r="I340" s="4" t="s">
        <v>540</v>
      </c>
      <c r="J340" s="4" t="s">
        <v>541</v>
      </c>
      <c r="L340" s="4" t="s">
        <v>904</v>
      </c>
      <c r="O340" s="4" t="s">
        <v>1040</v>
      </c>
      <c r="P340" s="4">
        <v>559298587</v>
      </c>
      <c r="R340" s="4">
        <v>12700</v>
      </c>
      <c r="S340">
        <f t="shared" si="10"/>
        <v>25526.999999999996</v>
      </c>
      <c r="T340" s="7">
        <v>-96</v>
      </c>
      <c r="U340">
        <f t="shared" si="11"/>
        <v>1021.0799999999999</v>
      </c>
      <c r="V340" s="15">
        <v>0.68700000000000006</v>
      </c>
      <c r="W340" s="4">
        <v>66</v>
      </c>
      <c r="BB340" s="20" t="str">
        <f>HYPERLINK("https://v360.in/diamondview.aspx?cid=preet&amp;d=HN-129-6","https://v360.in/diamondview.aspx?cid=preet&amp;d=HN-129-6")</f>
        <v>https://v360.in/diamondview.aspx?cid=preet&amp;d=HN-129-6</v>
      </c>
    </row>
    <row r="341" spans="1:54" ht="16" x14ac:dyDescent="0.2">
      <c r="A341" s="4" t="s">
        <v>401</v>
      </c>
      <c r="B341" s="7" t="s">
        <v>536</v>
      </c>
      <c r="C341" s="4" t="s">
        <v>563</v>
      </c>
      <c r="D341" s="8">
        <v>2.0099999999999998</v>
      </c>
      <c r="E341" s="9" t="s">
        <v>536</v>
      </c>
      <c r="F341" s="4" t="s">
        <v>538</v>
      </c>
      <c r="G341" s="4" t="s">
        <v>539</v>
      </c>
      <c r="H341" s="4" t="s">
        <v>540</v>
      </c>
      <c r="I341" s="4" t="s">
        <v>540</v>
      </c>
      <c r="J341" s="4" t="s">
        <v>541</v>
      </c>
      <c r="L341" s="4" t="s">
        <v>905</v>
      </c>
      <c r="O341" s="4" t="s">
        <v>1040</v>
      </c>
      <c r="P341" s="4">
        <v>553259839</v>
      </c>
      <c r="R341" s="4">
        <v>14500</v>
      </c>
      <c r="S341">
        <f t="shared" si="10"/>
        <v>29144.999999999996</v>
      </c>
      <c r="T341" s="7">
        <v>-96</v>
      </c>
      <c r="U341">
        <f t="shared" si="11"/>
        <v>1165.8</v>
      </c>
      <c r="V341" s="15">
        <v>0.66400000000000003</v>
      </c>
      <c r="W341" s="15">
        <v>0.625</v>
      </c>
      <c r="BB341" s="20" t="str">
        <f>HYPERLINK("https://v360.in/diamondview.aspx?cid=preet&amp;d=HN-128-44","https://v360.in/diamondview.aspx?cid=preet&amp;d=HN-128-44")</f>
        <v>https://v360.in/diamondview.aspx?cid=preet&amp;d=HN-128-44</v>
      </c>
    </row>
    <row r="342" spans="1:54" ht="16" x14ac:dyDescent="0.2">
      <c r="A342" s="4" t="s">
        <v>402</v>
      </c>
      <c r="B342" s="7" t="s">
        <v>536</v>
      </c>
      <c r="C342" s="4" t="s">
        <v>563</v>
      </c>
      <c r="D342" s="8">
        <v>2.0099999999999998</v>
      </c>
      <c r="E342" s="9" t="s">
        <v>536</v>
      </c>
      <c r="F342" s="4" t="s">
        <v>544</v>
      </c>
      <c r="G342" s="4" t="s">
        <v>539</v>
      </c>
      <c r="H342" s="4" t="s">
        <v>540</v>
      </c>
      <c r="I342" s="4" t="s">
        <v>540</v>
      </c>
      <c r="J342" s="4" t="s">
        <v>541</v>
      </c>
      <c r="L342" s="4" t="s">
        <v>906</v>
      </c>
      <c r="O342" s="4" t="s">
        <v>1040</v>
      </c>
      <c r="P342" s="4">
        <v>575396028</v>
      </c>
      <c r="R342" s="4">
        <v>15500</v>
      </c>
      <c r="S342">
        <f t="shared" si="10"/>
        <v>31154.999999999996</v>
      </c>
      <c r="T342" s="7">
        <v>-96</v>
      </c>
      <c r="U342">
        <f t="shared" si="11"/>
        <v>1246.1999999999998</v>
      </c>
      <c r="V342" s="15">
        <v>0.64400000000000002</v>
      </c>
      <c r="W342" s="16">
        <v>0.64</v>
      </c>
      <c r="BB342" s="20" t="str">
        <f>HYPERLINK("https://view.gem360.in/gem360/1704230624-HN-159-16/gem360-1704230624-HN-159-16.html","https://view.gem360.in/gem360/1704230624-HN-159-16/gem360-1704230624-HN-159-16.html")</f>
        <v>https://view.gem360.in/gem360/1704230624-HN-159-16/gem360-1704230624-HN-159-16.html</v>
      </c>
    </row>
    <row r="343" spans="1:54" ht="16" x14ac:dyDescent="0.2">
      <c r="A343" s="4" t="s">
        <v>403</v>
      </c>
      <c r="B343" s="7" t="s">
        <v>536</v>
      </c>
      <c r="C343" s="4" t="s">
        <v>563</v>
      </c>
      <c r="D343" s="8">
        <v>2.0099999999999998</v>
      </c>
      <c r="E343" s="9" t="s">
        <v>536</v>
      </c>
      <c r="F343" s="4" t="s">
        <v>549</v>
      </c>
      <c r="G343" s="4" t="s">
        <v>539</v>
      </c>
      <c r="H343" s="4" t="s">
        <v>540</v>
      </c>
      <c r="I343" s="4" t="s">
        <v>540</v>
      </c>
      <c r="J343" s="4" t="s">
        <v>541</v>
      </c>
      <c r="L343" s="4" t="s">
        <v>907</v>
      </c>
      <c r="O343" s="4" t="s">
        <v>1040</v>
      </c>
      <c r="P343" s="4">
        <v>560231269</v>
      </c>
      <c r="R343" s="4">
        <v>11700</v>
      </c>
      <c r="S343">
        <f t="shared" si="10"/>
        <v>23516.999999999996</v>
      </c>
      <c r="T343" s="7">
        <v>-96</v>
      </c>
      <c r="U343">
        <f t="shared" si="11"/>
        <v>940.68</v>
      </c>
      <c r="V343" s="15">
        <v>0.65200000000000002</v>
      </c>
      <c r="W343" s="4">
        <v>61</v>
      </c>
      <c r="BB343" s="20" t="str">
        <f>HYPERLINK("https://v360.in/diamondview.aspx?cid=preet&amp;d=HN-130-9","https://v360.in/diamondview.aspx?cid=preet&amp;d=HN-130-9")</f>
        <v>https://v360.in/diamondview.aspx?cid=preet&amp;d=HN-130-9</v>
      </c>
    </row>
    <row r="344" spans="1:54" ht="16" x14ac:dyDescent="0.2">
      <c r="A344" s="4" t="s">
        <v>404</v>
      </c>
      <c r="B344" s="7" t="s">
        <v>536</v>
      </c>
      <c r="C344" s="4" t="s">
        <v>563</v>
      </c>
      <c r="D344" s="8">
        <v>2</v>
      </c>
      <c r="E344" s="9" t="s">
        <v>546</v>
      </c>
      <c r="F344" s="4" t="s">
        <v>549</v>
      </c>
      <c r="G344" s="4" t="s">
        <v>539</v>
      </c>
      <c r="H344" s="4" t="s">
        <v>540</v>
      </c>
      <c r="I344" s="4" t="s">
        <v>540</v>
      </c>
      <c r="J344" s="4" t="s">
        <v>541</v>
      </c>
      <c r="L344" s="4" t="s">
        <v>908</v>
      </c>
      <c r="O344" s="4" t="s">
        <v>1040</v>
      </c>
      <c r="P344" s="4">
        <v>559298577</v>
      </c>
      <c r="R344" s="4">
        <v>12700</v>
      </c>
      <c r="S344">
        <f t="shared" si="10"/>
        <v>25400</v>
      </c>
      <c r="T344" s="7">
        <v>-96</v>
      </c>
      <c r="U344">
        <f t="shared" si="11"/>
        <v>1016</v>
      </c>
      <c r="V344" s="15">
        <v>0.68700000000000006</v>
      </c>
      <c r="W344" s="4">
        <v>67</v>
      </c>
      <c r="BB344" s="20" t="str">
        <f>HYPERLINK("https://v360.in/diamondview.aspx?cid=preet&amp;d=HN-129-20","https://v360.in/diamondview.aspx?cid=preet&amp;d=HN-129-20")</f>
        <v>https://v360.in/diamondview.aspx?cid=preet&amp;d=HN-129-20</v>
      </c>
    </row>
    <row r="345" spans="1:54" ht="16" x14ac:dyDescent="0.2">
      <c r="A345" s="4" t="s">
        <v>405</v>
      </c>
      <c r="B345" s="7" t="s">
        <v>536</v>
      </c>
      <c r="C345" s="4" t="s">
        <v>563</v>
      </c>
      <c r="D345" s="8">
        <v>2</v>
      </c>
      <c r="E345" s="9" t="s">
        <v>542</v>
      </c>
      <c r="F345" s="4" t="s">
        <v>553</v>
      </c>
      <c r="G345" s="4" t="s">
        <v>539</v>
      </c>
      <c r="H345" s="4" t="s">
        <v>540</v>
      </c>
      <c r="I345" s="4" t="s">
        <v>551</v>
      </c>
      <c r="J345" s="4" t="s">
        <v>541</v>
      </c>
      <c r="L345" s="4" t="s">
        <v>909</v>
      </c>
      <c r="O345" s="4" t="s">
        <v>1040</v>
      </c>
      <c r="P345" s="4">
        <v>526286730</v>
      </c>
      <c r="R345" s="4">
        <v>9200</v>
      </c>
      <c r="S345">
        <f t="shared" si="10"/>
        <v>18400</v>
      </c>
      <c r="T345" s="7">
        <v>-96</v>
      </c>
      <c r="U345">
        <f t="shared" si="11"/>
        <v>736</v>
      </c>
      <c r="V345" s="15">
        <v>0.61099999999999999</v>
      </c>
      <c r="W345" s="16">
        <v>0.69</v>
      </c>
      <c r="BB345" s="20" t="str">
        <f>HYPERLINK("","")</f>
        <v/>
      </c>
    </row>
    <row r="346" spans="1:54" ht="16" x14ac:dyDescent="0.2">
      <c r="A346" s="4" t="s">
        <v>406</v>
      </c>
      <c r="B346" s="7" t="s">
        <v>536</v>
      </c>
      <c r="C346" s="4" t="s">
        <v>563</v>
      </c>
      <c r="D346" s="8">
        <v>1.9</v>
      </c>
      <c r="E346" s="9" t="s">
        <v>536</v>
      </c>
      <c r="F346" s="4" t="s">
        <v>547</v>
      </c>
      <c r="G346" s="4" t="s">
        <v>539</v>
      </c>
      <c r="H346" s="4" t="s">
        <v>540</v>
      </c>
      <c r="I346" s="4" t="s">
        <v>540</v>
      </c>
      <c r="J346" s="4" t="s">
        <v>541</v>
      </c>
      <c r="L346" s="4" t="s">
        <v>910</v>
      </c>
      <c r="O346" s="4" t="s">
        <v>1040</v>
      </c>
      <c r="P346" s="4">
        <v>585394296</v>
      </c>
      <c r="R346" s="4">
        <v>11700</v>
      </c>
      <c r="S346">
        <f t="shared" si="10"/>
        <v>22230</v>
      </c>
      <c r="T346" s="7">
        <v>-96</v>
      </c>
      <c r="U346">
        <f t="shared" si="11"/>
        <v>889.19999999999993</v>
      </c>
      <c r="V346" s="15">
        <v>0.65500000000000003</v>
      </c>
      <c r="W346" s="16">
        <v>0.64</v>
      </c>
      <c r="BB346" s="20" t="str">
        <f>HYPERLINK("https://view.gem360.in/gem360/1206230544-HN-170-103/gem360-1206230544-HN-170-103.html","https://view.gem360.in/gem360/1206230544-HN-170-103/gem360-1206230544-HN-170-103.html")</f>
        <v>https://view.gem360.in/gem360/1206230544-HN-170-103/gem360-1206230544-HN-170-103.html</v>
      </c>
    </row>
    <row r="347" spans="1:54" ht="16" x14ac:dyDescent="0.2">
      <c r="A347" s="4" t="s">
        <v>407</v>
      </c>
      <c r="B347" s="7" t="s">
        <v>536</v>
      </c>
      <c r="C347" s="4" t="s">
        <v>563</v>
      </c>
      <c r="D347" s="8">
        <v>1.81</v>
      </c>
      <c r="E347" s="9" t="s">
        <v>542</v>
      </c>
      <c r="F347" s="4" t="s">
        <v>544</v>
      </c>
      <c r="G347" s="4" t="s">
        <v>539</v>
      </c>
      <c r="H347" s="4" t="s">
        <v>540</v>
      </c>
      <c r="I347" s="4" t="s">
        <v>540</v>
      </c>
      <c r="J347" s="4" t="s">
        <v>541</v>
      </c>
      <c r="L347" s="4" t="s">
        <v>911</v>
      </c>
      <c r="O347" s="4" t="s">
        <v>1040</v>
      </c>
      <c r="P347" s="4">
        <v>571301029</v>
      </c>
      <c r="R347" s="4">
        <v>9500</v>
      </c>
      <c r="S347">
        <f t="shared" si="10"/>
        <v>17195</v>
      </c>
      <c r="T347" s="7">
        <v>-96</v>
      </c>
      <c r="U347">
        <f t="shared" si="11"/>
        <v>687.80000000000007</v>
      </c>
      <c r="V347" s="15">
        <v>0.65400000000000003</v>
      </c>
      <c r="W347" s="16">
        <v>0.76</v>
      </c>
      <c r="BB347" s="20" t="str">
        <f>HYPERLINK("https://v360.in/diamondview.aspx?cid=preet&amp;d=HN-141-21","https://v360.in/diamondview.aspx?cid=preet&amp;d=HN-141-21")</f>
        <v>https://v360.in/diamondview.aspx?cid=preet&amp;d=HN-141-21</v>
      </c>
    </row>
    <row r="348" spans="1:54" ht="16" x14ac:dyDescent="0.2">
      <c r="A348" s="4" t="s">
        <v>408</v>
      </c>
      <c r="B348" s="7" t="s">
        <v>536</v>
      </c>
      <c r="C348" s="4" t="s">
        <v>563</v>
      </c>
      <c r="D348" s="8">
        <v>1.8</v>
      </c>
      <c r="E348" s="9" t="s">
        <v>546</v>
      </c>
      <c r="F348" s="4" t="s">
        <v>538</v>
      </c>
      <c r="G348" s="4" t="s">
        <v>539</v>
      </c>
      <c r="H348" s="4" t="s">
        <v>540</v>
      </c>
      <c r="I348" s="4" t="s">
        <v>540</v>
      </c>
      <c r="J348" s="4" t="s">
        <v>541</v>
      </c>
      <c r="L348" s="4" t="s">
        <v>912</v>
      </c>
      <c r="O348" s="4" t="s">
        <v>1040</v>
      </c>
      <c r="P348" s="4">
        <v>570370810</v>
      </c>
      <c r="R348" s="4">
        <v>10900</v>
      </c>
      <c r="S348">
        <f t="shared" si="10"/>
        <v>19620</v>
      </c>
      <c r="T348" s="7">
        <v>-96</v>
      </c>
      <c r="U348">
        <f t="shared" si="11"/>
        <v>784.80000000000007</v>
      </c>
      <c r="V348" s="15">
        <v>0.67700000000000005</v>
      </c>
      <c r="W348" s="16">
        <v>0.64</v>
      </c>
      <c r="BB348" s="20" t="str">
        <f>HYPERLINK("https://v360.in/diamondview.aspx?cid=preet&amp;d=HN-149-10","https://v360.in/diamondview.aspx?cid=preet&amp;d=HN-149-10")</f>
        <v>https://v360.in/diamondview.aspx?cid=preet&amp;d=HN-149-10</v>
      </c>
    </row>
    <row r="349" spans="1:54" ht="16" x14ac:dyDescent="0.2">
      <c r="A349" s="4" t="s">
        <v>409</v>
      </c>
      <c r="B349" s="7" t="s">
        <v>536</v>
      </c>
      <c r="C349" s="4" t="s">
        <v>563</v>
      </c>
      <c r="D349" s="8">
        <v>1.8</v>
      </c>
      <c r="E349" s="9" t="s">
        <v>536</v>
      </c>
      <c r="F349" s="4" t="s">
        <v>544</v>
      </c>
      <c r="G349" s="4" t="s">
        <v>539</v>
      </c>
      <c r="H349" s="4" t="s">
        <v>540</v>
      </c>
      <c r="I349" s="4" t="s">
        <v>540</v>
      </c>
      <c r="J349" s="4" t="s">
        <v>541</v>
      </c>
      <c r="L349" s="4" t="s">
        <v>913</v>
      </c>
      <c r="O349" s="4" t="s">
        <v>1040</v>
      </c>
      <c r="P349" s="4">
        <v>570370819</v>
      </c>
      <c r="R349" s="4">
        <v>11200</v>
      </c>
      <c r="S349">
        <f t="shared" si="10"/>
        <v>20160</v>
      </c>
      <c r="T349" s="7">
        <v>-96</v>
      </c>
      <c r="U349">
        <f t="shared" si="11"/>
        <v>806.4</v>
      </c>
      <c r="V349" s="15">
        <v>0.69299999999999995</v>
      </c>
      <c r="W349" s="16">
        <v>0.63</v>
      </c>
      <c r="BB349" s="20" t="str">
        <f>HYPERLINK("https://v360.in/diamondview.aspx?cid=preet&amp;d=HN-149-11","https://v360.in/diamondview.aspx?cid=preet&amp;d=HN-149-11")</f>
        <v>https://v360.in/diamondview.aspx?cid=preet&amp;d=HN-149-11</v>
      </c>
    </row>
    <row r="350" spans="1:54" ht="16" x14ac:dyDescent="0.2">
      <c r="A350" s="4" t="s">
        <v>410</v>
      </c>
      <c r="B350" s="7" t="s">
        <v>536</v>
      </c>
      <c r="C350" s="4" t="s">
        <v>563</v>
      </c>
      <c r="D350" s="8">
        <v>1.75</v>
      </c>
      <c r="E350" s="9" t="s">
        <v>548</v>
      </c>
      <c r="F350" s="4" t="s">
        <v>544</v>
      </c>
      <c r="G350" s="4" t="s">
        <v>539</v>
      </c>
      <c r="H350" s="4" t="s">
        <v>540</v>
      </c>
      <c r="I350" s="4" t="s">
        <v>540</v>
      </c>
      <c r="J350" s="4" t="s">
        <v>541</v>
      </c>
      <c r="L350" s="4" t="s">
        <v>914</v>
      </c>
      <c r="O350" s="4" t="s">
        <v>1040</v>
      </c>
      <c r="P350" s="4">
        <v>577380407</v>
      </c>
      <c r="R350" s="4">
        <v>12800</v>
      </c>
      <c r="S350">
        <f t="shared" si="10"/>
        <v>22400</v>
      </c>
      <c r="T350" s="7">
        <v>-96</v>
      </c>
      <c r="U350">
        <f t="shared" si="11"/>
        <v>896</v>
      </c>
      <c r="V350" s="15">
        <v>0.68500000000000005</v>
      </c>
      <c r="W350" s="16">
        <v>0.66</v>
      </c>
      <c r="BB350" s="20" t="str">
        <f>HYPERLINK("https://view.gem360.in/gem360/2504230618-HN-164-9/gem360-2504230618-HN-164-9.html","https://view.gem360.in/gem360/2504230618-HN-164-9/gem360-2504230618-HN-164-9.html")</f>
        <v>https://view.gem360.in/gem360/2504230618-HN-164-9/gem360-2504230618-HN-164-9.html</v>
      </c>
    </row>
    <row r="351" spans="1:54" ht="16" x14ac:dyDescent="0.2">
      <c r="A351" s="4" t="s">
        <v>411</v>
      </c>
      <c r="B351" s="7" t="s">
        <v>536</v>
      </c>
      <c r="C351" s="4" t="s">
        <v>563</v>
      </c>
      <c r="D351" s="8">
        <v>1.74</v>
      </c>
      <c r="E351" s="9" t="s">
        <v>536</v>
      </c>
      <c r="F351" s="4" t="s">
        <v>544</v>
      </c>
      <c r="G351" s="4" t="s">
        <v>539</v>
      </c>
      <c r="H351" s="4" t="s">
        <v>540</v>
      </c>
      <c r="I351" s="4" t="s">
        <v>540</v>
      </c>
      <c r="J351" s="4" t="s">
        <v>541</v>
      </c>
      <c r="L351" s="4" t="s">
        <v>915</v>
      </c>
      <c r="O351" s="4" t="s">
        <v>1040</v>
      </c>
      <c r="P351" s="4">
        <v>583323864</v>
      </c>
      <c r="R351" s="4">
        <v>11200</v>
      </c>
      <c r="S351">
        <f t="shared" si="10"/>
        <v>19488</v>
      </c>
      <c r="T351" s="7">
        <v>-96</v>
      </c>
      <c r="U351">
        <f t="shared" si="11"/>
        <v>779.52</v>
      </c>
      <c r="V351" s="16">
        <v>0.64</v>
      </c>
      <c r="W351" s="16">
        <v>0.64</v>
      </c>
      <c r="BB351" s="20" t="str">
        <f>HYPERLINK("","")</f>
        <v/>
      </c>
    </row>
    <row r="352" spans="1:54" ht="16" x14ac:dyDescent="0.2">
      <c r="A352" s="4" t="s">
        <v>412</v>
      </c>
      <c r="B352" s="7" t="s">
        <v>536</v>
      </c>
      <c r="C352" s="4" t="s">
        <v>563</v>
      </c>
      <c r="D352" s="8">
        <v>1.73</v>
      </c>
      <c r="E352" s="9" t="s">
        <v>536</v>
      </c>
      <c r="F352" s="4" t="s">
        <v>538</v>
      </c>
      <c r="G352" s="4" t="s">
        <v>539</v>
      </c>
      <c r="H352" s="4" t="s">
        <v>540</v>
      </c>
      <c r="I352" s="4" t="s">
        <v>540</v>
      </c>
      <c r="J352" s="4" t="s">
        <v>541</v>
      </c>
      <c r="L352" s="4" t="s">
        <v>916</v>
      </c>
      <c r="O352" s="4" t="s">
        <v>1040</v>
      </c>
      <c r="P352" s="4">
        <v>570376198</v>
      </c>
      <c r="R352" s="4">
        <v>10100</v>
      </c>
      <c r="S352">
        <f t="shared" si="10"/>
        <v>17473</v>
      </c>
      <c r="T352" s="7">
        <v>-96</v>
      </c>
      <c r="U352">
        <f t="shared" si="11"/>
        <v>698.92</v>
      </c>
      <c r="V352" s="16">
        <v>0.65</v>
      </c>
      <c r="W352" s="15">
        <v>0.64500000000000002</v>
      </c>
      <c r="BB352" s="20" t="str">
        <f>HYPERLINK("https://v360.in/diamondview.aspx?cid=preet&amp;d=HN-148-13","https://v360.in/diamondview.aspx?cid=preet&amp;d=HN-148-13")</f>
        <v>https://v360.in/diamondview.aspx?cid=preet&amp;d=HN-148-13</v>
      </c>
    </row>
    <row r="353" spans="1:54" ht="16" x14ac:dyDescent="0.2">
      <c r="A353" s="4" t="s">
        <v>413</v>
      </c>
      <c r="B353" s="7" t="s">
        <v>536</v>
      </c>
      <c r="C353" s="4" t="s">
        <v>563</v>
      </c>
      <c r="D353" s="8">
        <v>1.72</v>
      </c>
      <c r="E353" s="9" t="s">
        <v>546</v>
      </c>
      <c r="F353" s="4" t="s">
        <v>549</v>
      </c>
      <c r="G353" s="4" t="s">
        <v>539</v>
      </c>
      <c r="H353" s="4" t="s">
        <v>540</v>
      </c>
      <c r="I353" s="4" t="s">
        <v>540</v>
      </c>
      <c r="J353" s="4" t="s">
        <v>541</v>
      </c>
      <c r="L353" s="4" t="s">
        <v>917</v>
      </c>
      <c r="O353" s="4" t="s">
        <v>1040</v>
      </c>
      <c r="P353" s="4">
        <v>560231277</v>
      </c>
      <c r="R353" s="4">
        <v>9300</v>
      </c>
      <c r="S353">
        <f t="shared" si="10"/>
        <v>15996</v>
      </c>
      <c r="T353" s="7">
        <v>-96</v>
      </c>
      <c r="U353">
        <f t="shared" si="11"/>
        <v>639.84</v>
      </c>
      <c r="V353" s="15">
        <v>0.72099999999999997</v>
      </c>
      <c r="W353" s="15">
        <v>0.625</v>
      </c>
      <c r="BB353" s="20" t="str">
        <f>HYPERLINK("https://v360.in/diamondview.aspx?cid=preet&amp;d=HN-130-26","https://v360.in/diamondview.aspx?cid=preet&amp;d=HN-130-26")</f>
        <v>https://v360.in/diamondview.aspx?cid=preet&amp;d=HN-130-26</v>
      </c>
    </row>
    <row r="354" spans="1:54" ht="16" x14ac:dyDescent="0.2">
      <c r="A354" s="4" t="s">
        <v>414</v>
      </c>
      <c r="B354" s="7" t="s">
        <v>536</v>
      </c>
      <c r="C354" s="4" t="s">
        <v>563</v>
      </c>
      <c r="D354" s="8">
        <v>1.71</v>
      </c>
      <c r="E354" s="9" t="s">
        <v>548</v>
      </c>
      <c r="F354" s="4" t="s">
        <v>549</v>
      </c>
      <c r="G354" s="4" t="s">
        <v>539</v>
      </c>
      <c r="H354" s="4" t="s">
        <v>540</v>
      </c>
      <c r="I354" s="4" t="s">
        <v>540</v>
      </c>
      <c r="J354" s="4" t="s">
        <v>541</v>
      </c>
      <c r="L354" s="4" t="s">
        <v>918</v>
      </c>
      <c r="O354" s="4" t="s">
        <v>1040</v>
      </c>
      <c r="P354" s="4">
        <v>553259840</v>
      </c>
      <c r="R354" s="4">
        <v>9800</v>
      </c>
      <c r="S354">
        <f t="shared" si="10"/>
        <v>16758</v>
      </c>
      <c r="T354" s="7">
        <v>-96</v>
      </c>
      <c r="U354">
        <f t="shared" si="11"/>
        <v>670.31999999999994</v>
      </c>
      <c r="V354" s="15">
        <v>0.66500000000000004</v>
      </c>
      <c r="W354" s="15">
        <v>0.625</v>
      </c>
      <c r="BB354" s="20" t="str">
        <f>HYPERLINK("https://v360.in/diamondview.aspx?cid=preet&amp;d=HN-128-24","https://v360.in/diamondview.aspx?cid=preet&amp;d=HN-128-24")</f>
        <v>https://v360.in/diamondview.aspx?cid=preet&amp;d=HN-128-24</v>
      </c>
    </row>
    <row r="355" spans="1:54" ht="16" x14ac:dyDescent="0.2">
      <c r="A355" s="4" t="s">
        <v>415</v>
      </c>
      <c r="B355" s="7" t="s">
        <v>536</v>
      </c>
      <c r="C355" s="4" t="s">
        <v>563</v>
      </c>
      <c r="D355" s="8">
        <v>1.71</v>
      </c>
      <c r="E355" s="9" t="s">
        <v>546</v>
      </c>
      <c r="F355" s="4" t="s">
        <v>538</v>
      </c>
      <c r="G355" s="4" t="s">
        <v>539</v>
      </c>
      <c r="H355" s="4" t="s">
        <v>540</v>
      </c>
      <c r="I355" s="4" t="s">
        <v>540</v>
      </c>
      <c r="J355" s="4" t="s">
        <v>541</v>
      </c>
      <c r="L355" s="4" t="s">
        <v>919</v>
      </c>
      <c r="O355" s="4" t="s">
        <v>1040</v>
      </c>
      <c r="P355" s="4">
        <v>559298576</v>
      </c>
      <c r="R355" s="4">
        <v>10900</v>
      </c>
      <c r="S355">
        <f t="shared" si="10"/>
        <v>18639</v>
      </c>
      <c r="T355" s="7">
        <v>-96</v>
      </c>
      <c r="U355">
        <f t="shared" si="11"/>
        <v>745.56</v>
      </c>
      <c r="V355" s="4">
        <v>68</v>
      </c>
      <c r="W355" s="4">
        <v>67</v>
      </c>
      <c r="BB355" s="20" t="str">
        <f>HYPERLINK("https://v360.in/diamondview.aspx?cid=preet&amp;d=HN-129-24","https://v360.in/diamondview.aspx?cid=preet&amp;d=HN-129-24")</f>
        <v>https://v360.in/diamondview.aspx?cid=preet&amp;d=HN-129-24</v>
      </c>
    </row>
    <row r="356" spans="1:54" ht="16" x14ac:dyDescent="0.2">
      <c r="A356" s="4" t="s">
        <v>416</v>
      </c>
      <c r="B356" s="7" t="s">
        <v>536</v>
      </c>
      <c r="C356" s="4" t="s">
        <v>563</v>
      </c>
      <c r="D356" s="8">
        <v>1.71</v>
      </c>
      <c r="E356" s="9" t="s">
        <v>546</v>
      </c>
      <c r="F356" s="4" t="s">
        <v>538</v>
      </c>
      <c r="G356" s="4" t="s">
        <v>539</v>
      </c>
      <c r="H356" s="4" t="s">
        <v>540</v>
      </c>
      <c r="I356" s="4" t="s">
        <v>540</v>
      </c>
      <c r="J356" s="4" t="s">
        <v>541</v>
      </c>
      <c r="L356" s="4" t="s">
        <v>920</v>
      </c>
      <c r="O356" s="4" t="s">
        <v>1040</v>
      </c>
      <c r="P356" s="4">
        <v>561259406</v>
      </c>
      <c r="R356" s="4">
        <v>10900</v>
      </c>
      <c r="S356">
        <f t="shared" si="10"/>
        <v>18639</v>
      </c>
      <c r="T356" s="7">
        <v>-96</v>
      </c>
      <c r="U356">
        <f t="shared" si="11"/>
        <v>745.56</v>
      </c>
      <c r="V356" s="4">
        <v>69</v>
      </c>
      <c r="W356" s="4">
        <v>64</v>
      </c>
      <c r="BB356" s="20" t="str">
        <f>HYPERLINK("https://v360.in/diamondview.aspx?cid=preet&amp;d=HN-130-39","https://v360.in/diamondview.aspx?cid=preet&amp;d=HN-130-39")</f>
        <v>https://v360.in/diamondview.aspx?cid=preet&amp;d=HN-130-39</v>
      </c>
    </row>
    <row r="357" spans="1:54" ht="16" x14ac:dyDescent="0.2">
      <c r="A357" s="4" t="s">
        <v>417</v>
      </c>
      <c r="B357" s="7" t="s">
        <v>536</v>
      </c>
      <c r="C357" s="4" t="s">
        <v>563</v>
      </c>
      <c r="D357" s="8">
        <v>1.7</v>
      </c>
      <c r="E357" s="9" t="s">
        <v>536</v>
      </c>
      <c r="F357" s="4" t="s">
        <v>538</v>
      </c>
      <c r="G357" s="4" t="s">
        <v>539</v>
      </c>
      <c r="H357" s="4" t="s">
        <v>540</v>
      </c>
      <c r="I357" s="4" t="s">
        <v>540</v>
      </c>
      <c r="J357" s="4" t="s">
        <v>541</v>
      </c>
      <c r="L357" s="4" t="s">
        <v>921</v>
      </c>
      <c r="O357" s="4" t="s">
        <v>1040</v>
      </c>
      <c r="P357" s="4">
        <v>570370818</v>
      </c>
      <c r="R357" s="4">
        <v>10100</v>
      </c>
      <c r="S357">
        <f t="shared" si="10"/>
        <v>17170</v>
      </c>
      <c r="T357" s="7">
        <v>-96</v>
      </c>
      <c r="U357">
        <f t="shared" si="11"/>
        <v>686.8</v>
      </c>
      <c r="V357" s="15">
        <v>0.63500000000000001</v>
      </c>
      <c r="W357" s="15">
        <v>0.625</v>
      </c>
      <c r="BB357" s="20" t="str">
        <f>HYPERLINK("https://v360.in/diamondview.aspx?cid=preet&amp;d=HN-149-7","https://v360.in/diamondview.aspx?cid=preet&amp;d=HN-149-7")</f>
        <v>https://v360.in/diamondview.aspx?cid=preet&amp;d=HN-149-7</v>
      </c>
    </row>
    <row r="358" spans="1:54" ht="16" x14ac:dyDescent="0.2">
      <c r="A358" s="4" t="s">
        <v>418</v>
      </c>
      <c r="B358" s="7" t="s">
        <v>536</v>
      </c>
      <c r="C358" s="4" t="s">
        <v>563</v>
      </c>
      <c r="D358" s="8">
        <v>1.7</v>
      </c>
      <c r="E358" s="9" t="s">
        <v>536</v>
      </c>
      <c r="F358" s="4" t="s">
        <v>544</v>
      </c>
      <c r="G358" s="4" t="s">
        <v>539</v>
      </c>
      <c r="H358" s="4" t="s">
        <v>540</v>
      </c>
      <c r="I358" s="4" t="s">
        <v>540</v>
      </c>
      <c r="J358" s="4" t="s">
        <v>541</v>
      </c>
      <c r="L358" s="4" t="s">
        <v>922</v>
      </c>
      <c r="O358" s="4" t="s">
        <v>1040</v>
      </c>
      <c r="P358" s="4">
        <v>573311713</v>
      </c>
      <c r="R358" s="4">
        <v>11200</v>
      </c>
      <c r="S358">
        <f t="shared" si="10"/>
        <v>19040</v>
      </c>
      <c r="T358" s="7">
        <v>-96</v>
      </c>
      <c r="U358">
        <f t="shared" si="11"/>
        <v>761.6</v>
      </c>
      <c r="V358" s="15">
        <v>0.67300000000000004</v>
      </c>
      <c r="W358" s="15">
        <v>0.66500000000000004</v>
      </c>
      <c r="BB358" s="20" t="str">
        <f>HYPERLINK("https://view.gem360.in/gem360/0604230826-HN-153-12/gem360-0604230826-HN-153-12.html","https://view.gem360.in/gem360/0604230826-HN-153-12/gem360-0604230826-HN-153-12.html")</f>
        <v>https://view.gem360.in/gem360/0604230826-HN-153-12/gem360-0604230826-HN-153-12.html</v>
      </c>
    </row>
    <row r="359" spans="1:54" ht="16" x14ac:dyDescent="0.2">
      <c r="A359" s="4" t="s">
        <v>419</v>
      </c>
      <c r="B359" s="7" t="s">
        <v>536</v>
      </c>
      <c r="C359" s="4" t="s">
        <v>563</v>
      </c>
      <c r="D359" s="8">
        <v>1.7</v>
      </c>
      <c r="E359" s="9" t="s">
        <v>536</v>
      </c>
      <c r="F359" s="4" t="s">
        <v>544</v>
      </c>
      <c r="G359" s="4" t="s">
        <v>539</v>
      </c>
      <c r="H359" s="4" t="s">
        <v>540</v>
      </c>
      <c r="I359" s="4" t="s">
        <v>540</v>
      </c>
      <c r="J359" s="4" t="s">
        <v>541</v>
      </c>
      <c r="L359" s="4" t="s">
        <v>923</v>
      </c>
      <c r="O359" s="4" t="s">
        <v>1040</v>
      </c>
      <c r="P359" s="4">
        <v>570370809</v>
      </c>
      <c r="R359" s="4">
        <v>11200</v>
      </c>
      <c r="S359">
        <f t="shared" si="10"/>
        <v>19040</v>
      </c>
      <c r="T359" s="7">
        <v>-96</v>
      </c>
      <c r="U359">
        <f t="shared" si="11"/>
        <v>761.6</v>
      </c>
      <c r="V359" s="15">
        <v>0.63400000000000001</v>
      </c>
      <c r="W359" s="16">
        <v>0.65</v>
      </c>
      <c r="BB359" s="20" t="str">
        <f>HYPERLINK("https://v360.in/diamondview.aspx?cid=preet&amp;d=HN-149-8","https://v360.in/diamondview.aspx?cid=preet&amp;d=HN-149-8")</f>
        <v>https://v360.in/diamondview.aspx?cid=preet&amp;d=HN-149-8</v>
      </c>
    </row>
    <row r="360" spans="1:54" ht="16" x14ac:dyDescent="0.2">
      <c r="A360" s="4" t="s">
        <v>420</v>
      </c>
      <c r="B360" s="7" t="s">
        <v>536</v>
      </c>
      <c r="C360" s="4" t="s">
        <v>563</v>
      </c>
      <c r="D360" s="8">
        <v>1.63</v>
      </c>
      <c r="E360" s="9" t="s">
        <v>548</v>
      </c>
      <c r="F360" s="4" t="s">
        <v>538</v>
      </c>
      <c r="G360" s="4" t="s">
        <v>539</v>
      </c>
      <c r="H360" s="4" t="s">
        <v>540</v>
      </c>
      <c r="I360" s="4" t="s">
        <v>540</v>
      </c>
      <c r="J360" s="4" t="s">
        <v>541</v>
      </c>
      <c r="L360" s="4" t="s">
        <v>924</v>
      </c>
      <c r="O360" s="4" t="s">
        <v>1040</v>
      </c>
      <c r="P360" s="4">
        <v>560231279</v>
      </c>
      <c r="R360" s="4">
        <v>11400</v>
      </c>
      <c r="S360">
        <f t="shared" si="10"/>
        <v>18582</v>
      </c>
      <c r="T360" s="7">
        <v>-96</v>
      </c>
      <c r="U360">
        <f t="shared" si="11"/>
        <v>743.28</v>
      </c>
      <c r="V360" s="15">
        <v>0.69599999999999995</v>
      </c>
      <c r="W360" s="4">
        <v>68</v>
      </c>
      <c r="BB360" s="20" t="str">
        <f>HYPERLINK("https://v360.in/diamondview.aspx?cid=preet&amp;d=HN-129-29","https://v360.in/diamondview.aspx?cid=preet&amp;d=HN-129-29")</f>
        <v>https://v360.in/diamondview.aspx?cid=preet&amp;d=HN-129-29</v>
      </c>
    </row>
    <row r="361" spans="1:54" ht="16" x14ac:dyDescent="0.2">
      <c r="A361" s="4" t="s">
        <v>421</v>
      </c>
      <c r="B361" s="7" t="s">
        <v>536</v>
      </c>
      <c r="C361" s="4" t="s">
        <v>563</v>
      </c>
      <c r="D361" s="8">
        <v>1.59</v>
      </c>
      <c r="E361" s="9" t="s">
        <v>546</v>
      </c>
      <c r="F361" s="4" t="s">
        <v>547</v>
      </c>
      <c r="G361" s="4" t="s">
        <v>539</v>
      </c>
      <c r="H361" s="4" t="s">
        <v>540</v>
      </c>
      <c r="I361" s="4" t="s">
        <v>540</v>
      </c>
      <c r="J361" s="4" t="s">
        <v>541</v>
      </c>
      <c r="L361" s="4" t="s">
        <v>925</v>
      </c>
      <c r="O361" s="4" t="s">
        <v>1040</v>
      </c>
      <c r="P361" s="4">
        <v>577380406</v>
      </c>
      <c r="R361" s="4">
        <v>12700</v>
      </c>
      <c r="S361">
        <f t="shared" si="10"/>
        <v>20193</v>
      </c>
      <c r="T361" s="7">
        <v>-96</v>
      </c>
      <c r="U361">
        <f t="shared" si="11"/>
        <v>807.72</v>
      </c>
      <c r="V361" s="15">
        <v>0.68600000000000005</v>
      </c>
      <c r="W361" s="16">
        <v>0.68</v>
      </c>
      <c r="BB361" s="20" t="str">
        <f>HYPERLINK("https://view.gem360.in/gem360/2504230623-HN-164-10/gem360-2504230623-HN-164-10.html","https://view.gem360.in/gem360/2504230623-HN-164-10/gem360-2504230623-HN-164-10.html")</f>
        <v>https://view.gem360.in/gem360/2504230623-HN-164-10/gem360-2504230623-HN-164-10.html</v>
      </c>
    </row>
    <row r="362" spans="1:54" ht="16" x14ac:dyDescent="0.2">
      <c r="A362" s="4" t="s">
        <v>422</v>
      </c>
      <c r="B362" s="7" t="s">
        <v>536</v>
      </c>
      <c r="C362" s="4" t="s">
        <v>563</v>
      </c>
      <c r="D362" s="8">
        <v>1.57</v>
      </c>
      <c r="E362" s="9" t="s">
        <v>536</v>
      </c>
      <c r="F362" s="4" t="s">
        <v>547</v>
      </c>
      <c r="G362" s="4" t="s">
        <v>539</v>
      </c>
      <c r="H362" s="4" t="s">
        <v>540</v>
      </c>
      <c r="I362" s="4" t="s">
        <v>540</v>
      </c>
      <c r="J362" s="4" t="s">
        <v>541</v>
      </c>
      <c r="L362" s="4" t="s">
        <v>926</v>
      </c>
      <c r="O362" s="4" t="s">
        <v>1040</v>
      </c>
      <c r="P362" s="4">
        <v>585329951</v>
      </c>
      <c r="R362" s="4">
        <v>11700</v>
      </c>
      <c r="S362">
        <f t="shared" si="10"/>
        <v>18369</v>
      </c>
      <c r="T362" s="7">
        <v>-96</v>
      </c>
      <c r="U362">
        <f t="shared" si="11"/>
        <v>734.76</v>
      </c>
      <c r="V362" s="16">
        <v>0.61</v>
      </c>
      <c r="W362" s="16">
        <v>0.69</v>
      </c>
      <c r="BB362" s="20" t="str">
        <f>HYPERLINK("https://view.gem360.in/gem360/2106230511-HN-169-91/gem360-2106230511-HN-169-91.html","https://view.gem360.in/gem360/2106230511-HN-169-91/gem360-2106230511-HN-169-91.html")</f>
        <v>https://view.gem360.in/gem360/2106230511-HN-169-91/gem360-2106230511-HN-169-91.html</v>
      </c>
    </row>
    <row r="363" spans="1:54" ht="16" x14ac:dyDescent="0.2">
      <c r="A363" s="4" t="s">
        <v>423</v>
      </c>
      <c r="B363" s="7" t="s">
        <v>536</v>
      </c>
      <c r="C363" s="4" t="s">
        <v>563</v>
      </c>
      <c r="D363" s="8">
        <v>1.56</v>
      </c>
      <c r="E363" s="9" t="s">
        <v>536</v>
      </c>
      <c r="F363" s="4" t="s">
        <v>544</v>
      </c>
      <c r="G363" s="4" t="s">
        <v>539</v>
      </c>
      <c r="H363" s="4" t="s">
        <v>540</v>
      </c>
      <c r="I363" s="4" t="s">
        <v>540</v>
      </c>
      <c r="J363" s="4" t="s">
        <v>541</v>
      </c>
      <c r="L363" s="4" t="s">
        <v>927</v>
      </c>
      <c r="O363" s="4" t="s">
        <v>1040</v>
      </c>
      <c r="P363" s="4">
        <v>585303897</v>
      </c>
      <c r="R363" s="4">
        <v>11200</v>
      </c>
      <c r="S363">
        <f t="shared" si="10"/>
        <v>17472</v>
      </c>
      <c r="T363" s="7">
        <v>-96</v>
      </c>
      <c r="U363">
        <f t="shared" si="11"/>
        <v>698.88</v>
      </c>
      <c r="V363" s="15">
        <v>0.69199999999999995</v>
      </c>
      <c r="W363" s="16">
        <v>0.67</v>
      </c>
      <c r="BB363" s="20" t="str">
        <f>HYPERLINK("https://view.gem360.in/gem360/1206230547-HN-765/gem360-1206230547-HN-765.html","https://view.gem360.in/gem360/1206230547-HN-765/gem360-1206230547-HN-765.html")</f>
        <v>https://view.gem360.in/gem360/1206230547-HN-765/gem360-1206230547-HN-765.html</v>
      </c>
    </row>
    <row r="364" spans="1:54" ht="16" x14ac:dyDescent="0.2">
      <c r="A364" s="4" t="s">
        <v>424</v>
      </c>
      <c r="B364" s="7" t="s">
        <v>536</v>
      </c>
      <c r="C364" s="4" t="s">
        <v>563</v>
      </c>
      <c r="D364" s="8">
        <v>1.55</v>
      </c>
      <c r="E364" s="9" t="s">
        <v>536</v>
      </c>
      <c r="F364" s="4" t="s">
        <v>549</v>
      </c>
      <c r="G364" s="4" t="s">
        <v>539</v>
      </c>
      <c r="H364" s="4" t="s">
        <v>551</v>
      </c>
      <c r="I364" s="4" t="s">
        <v>540</v>
      </c>
      <c r="J364" s="4" t="s">
        <v>541</v>
      </c>
      <c r="L364" s="4" t="s">
        <v>928</v>
      </c>
      <c r="O364" s="4" t="s">
        <v>1040</v>
      </c>
      <c r="P364" s="4">
        <v>464109431</v>
      </c>
      <c r="R364" s="4">
        <v>8600</v>
      </c>
      <c r="S364">
        <f t="shared" si="10"/>
        <v>13330</v>
      </c>
      <c r="T364" s="7">
        <v>-96</v>
      </c>
      <c r="U364">
        <f t="shared" si="11"/>
        <v>533.20000000000005</v>
      </c>
      <c r="V364" s="15">
        <v>0.61399999999999999</v>
      </c>
      <c r="W364" s="16">
        <v>0.68</v>
      </c>
      <c r="BB364" s="20" t="str">
        <f>HYPERLINK("http://view.gem360.in/gem360/0605210623-HN-2-33/gem360-0605210623-HN-2-33.html","http://view.gem360.in/gem360/0605210623-HN-2-33/gem360-0605210623-HN-2-33.html")</f>
        <v>http://view.gem360.in/gem360/0605210623-HN-2-33/gem360-0605210623-HN-2-33.html</v>
      </c>
    </row>
    <row r="365" spans="1:54" ht="16" x14ac:dyDescent="0.2">
      <c r="A365" s="4" t="s">
        <v>425</v>
      </c>
      <c r="B365" s="7" t="s">
        <v>536</v>
      </c>
      <c r="C365" s="4" t="s">
        <v>563</v>
      </c>
      <c r="D365" s="8">
        <v>1.53</v>
      </c>
      <c r="E365" s="9" t="s">
        <v>546</v>
      </c>
      <c r="F365" s="4" t="s">
        <v>544</v>
      </c>
      <c r="G365" s="4" t="s">
        <v>539</v>
      </c>
      <c r="H365" s="4" t="s">
        <v>540</v>
      </c>
      <c r="I365" s="4" t="s">
        <v>540</v>
      </c>
      <c r="J365" s="4" t="s">
        <v>541</v>
      </c>
      <c r="L365" s="4" t="s">
        <v>929</v>
      </c>
      <c r="O365" s="4" t="s">
        <v>1040</v>
      </c>
      <c r="P365" s="4">
        <v>559298602</v>
      </c>
      <c r="R365" s="4">
        <v>12200</v>
      </c>
      <c r="S365">
        <f t="shared" si="10"/>
        <v>18666</v>
      </c>
      <c r="T365" s="7">
        <v>-96</v>
      </c>
      <c r="U365">
        <f t="shared" si="11"/>
        <v>746.64</v>
      </c>
      <c r="V365" s="15">
        <v>0.67900000000000005</v>
      </c>
      <c r="W365" s="4">
        <v>61</v>
      </c>
      <c r="BB365" s="20" t="str">
        <f>HYPERLINK("https://v360.in/diamondview.aspx?cid=preet&amp;d=HN-129-41","https://v360.in/diamondview.aspx?cid=preet&amp;d=HN-129-41")</f>
        <v>https://v360.in/diamondview.aspx?cid=preet&amp;d=HN-129-41</v>
      </c>
    </row>
    <row r="366" spans="1:54" ht="16" x14ac:dyDescent="0.2">
      <c r="A366" s="4" t="s">
        <v>426</v>
      </c>
      <c r="B366" s="7" t="s">
        <v>536</v>
      </c>
      <c r="C366" s="4" t="s">
        <v>563</v>
      </c>
      <c r="D366" s="8">
        <v>1.53</v>
      </c>
      <c r="E366" s="9" t="s">
        <v>536</v>
      </c>
      <c r="F366" s="4" t="s">
        <v>538</v>
      </c>
      <c r="G366" s="4" t="s">
        <v>539</v>
      </c>
      <c r="H366" s="4" t="s">
        <v>540</v>
      </c>
      <c r="I366" s="4" t="s">
        <v>540</v>
      </c>
      <c r="J366" s="4" t="s">
        <v>541</v>
      </c>
      <c r="L366" s="4" t="s">
        <v>930</v>
      </c>
      <c r="O366" s="4" t="s">
        <v>1040</v>
      </c>
      <c r="P366" s="4">
        <v>559298581</v>
      </c>
      <c r="R366" s="4">
        <v>10100</v>
      </c>
      <c r="S366">
        <f t="shared" si="10"/>
        <v>15453</v>
      </c>
      <c r="T366" s="7">
        <v>-96</v>
      </c>
      <c r="U366">
        <f t="shared" si="11"/>
        <v>618.12</v>
      </c>
      <c r="V366" s="15">
        <v>0.66600000000000004</v>
      </c>
      <c r="W366" s="4">
        <v>61</v>
      </c>
      <c r="BB366" s="20" t="str">
        <f>HYPERLINK("https://v360.in/diamondview.aspx?cid=preet&amp;d=HN-129-35","https://v360.in/diamondview.aspx?cid=preet&amp;d=HN-129-35")</f>
        <v>https://v360.in/diamondview.aspx?cid=preet&amp;d=HN-129-35</v>
      </c>
    </row>
    <row r="367" spans="1:54" ht="16" x14ac:dyDescent="0.2">
      <c r="A367" s="4" t="s">
        <v>427</v>
      </c>
      <c r="B367" s="7" t="s">
        <v>536</v>
      </c>
      <c r="C367" s="4" t="s">
        <v>563</v>
      </c>
      <c r="D367" s="8">
        <v>1.52</v>
      </c>
      <c r="E367" s="9" t="s">
        <v>548</v>
      </c>
      <c r="F367" s="4" t="s">
        <v>538</v>
      </c>
      <c r="G367" s="4" t="s">
        <v>539</v>
      </c>
      <c r="H367" s="4" t="s">
        <v>540</v>
      </c>
      <c r="I367" s="4" t="s">
        <v>551</v>
      </c>
      <c r="J367" s="4" t="s">
        <v>541</v>
      </c>
      <c r="L367" s="4" t="s">
        <v>931</v>
      </c>
      <c r="O367" s="4" t="s">
        <v>1040</v>
      </c>
      <c r="P367" s="4">
        <v>560231299</v>
      </c>
      <c r="R367" s="4">
        <v>11400</v>
      </c>
      <c r="S367">
        <f t="shared" si="10"/>
        <v>17328</v>
      </c>
      <c r="T367" s="7">
        <v>-96</v>
      </c>
      <c r="U367">
        <f t="shared" si="11"/>
        <v>693.12</v>
      </c>
      <c r="V367" s="15">
        <v>0.65600000000000003</v>
      </c>
      <c r="W367" s="15">
        <v>0.63500000000000001</v>
      </c>
      <c r="BB367" s="20" t="str">
        <f>HYPERLINK("https://v360.in/diamondview.aspx?cid=preet&amp;d=HN-130-27","https://v360.in/diamondview.aspx?cid=preet&amp;d=HN-130-27")</f>
        <v>https://v360.in/diamondview.aspx?cid=preet&amp;d=HN-130-27</v>
      </c>
    </row>
    <row r="368" spans="1:54" ht="16" x14ac:dyDescent="0.2">
      <c r="A368" s="4" t="s">
        <v>428</v>
      </c>
      <c r="B368" s="7" t="s">
        <v>536</v>
      </c>
      <c r="C368" s="4" t="s">
        <v>563</v>
      </c>
      <c r="D368" s="8">
        <v>1.52</v>
      </c>
      <c r="E368" s="9" t="s">
        <v>555</v>
      </c>
      <c r="F368" s="4" t="s">
        <v>538</v>
      </c>
      <c r="G368" s="4" t="s">
        <v>539</v>
      </c>
      <c r="H368" s="4" t="s">
        <v>540</v>
      </c>
      <c r="I368" s="4" t="s">
        <v>540</v>
      </c>
      <c r="J368" s="4" t="s">
        <v>541</v>
      </c>
      <c r="L368" s="4" t="s">
        <v>932</v>
      </c>
      <c r="O368" s="4" t="s">
        <v>1040</v>
      </c>
      <c r="P368" s="4">
        <v>526286727</v>
      </c>
      <c r="R368" s="4">
        <v>7400</v>
      </c>
      <c r="S368">
        <f t="shared" si="10"/>
        <v>11248</v>
      </c>
      <c r="T368" s="7">
        <v>-96</v>
      </c>
      <c r="U368">
        <f t="shared" si="11"/>
        <v>449.92</v>
      </c>
      <c r="V368" s="15">
        <v>0.60499999999999998</v>
      </c>
      <c r="W368" s="15">
        <v>0.70499999999999996</v>
      </c>
      <c r="BB368" s="20" t="str">
        <f>HYPERLINK("","")</f>
        <v/>
      </c>
    </row>
    <row r="369" spans="1:54" ht="16" x14ac:dyDescent="0.2">
      <c r="A369" s="4" t="s">
        <v>429</v>
      </c>
      <c r="B369" s="7" t="s">
        <v>536</v>
      </c>
      <c r="C369" s="4" t="s">
        <v>563</v>
      </c>
      <c r="D369" s="8">
        <v>1.51</v>
      </c>
      <c r="E369" s="9" t="s">
        <v>548</v>
      </c>
      <c r="F369" s="4" t="s">
        <v>544</v>
      </c>
      <c r="G369" s="4" t="s">
        <v>539</v>
      </c>
      <c r="H369" s="4" t="s">
        <v>540</v>
      </c>
      <c r="I369" s="4" t="s">
        <v>540</v>
      </c>
      <c r="J369" s="4" t="s">
        <v>541</v>
      </c>
      <c r="L369" s="4" t="s">
        <v>933</v>
      </c>
      <c r="O369" s="4" t="s">
        <v>1040</v>
      </c>
      <c r="P369" s="4">
        <v>560231276</v>
      </c>
      <c r="R369" s="4">
        <v>12800</v>
      </c>
      <c r="S369">
        <f t="shared" si="10"/>
        <v>19328</v>
      </c>
      <c r="T369" s="7">
        <v>-96</v>
      </c>
      <c r="U369">
        <f t="shared" si="11"/>
        <v>773.12</v>
      </c>
      <c r="V369" s="15">
        <v>0.68200000000000005</v>
      </c>
      <c r="W369" s="4">
        <v>63</v>
      </c>
      <c r="BB369" s="20" t="str">
        <f>HYPERLINK("https://v360.in/diamondview.aspx?cid=preet&amp;d=HN-130-20","https://v360.in/diamondview.aspx?cid=preet&amp;d=HN-130-20")</f>
        <v>https://v360.in/diamondview.aspx?cid=preet&amp;d=HN-130-20</v>
      </c>
    </row>
    <row r="370" spans="1:54" ht="16" x14ac:dyDescent="0.2">
      <c r="A370" s="4" t="s">
        <v>430</v>
      </c>
      <c r="B370" s="7" t="s">
        <v>536</v>
      </c>
      <c r="C370" s="4" t="s">
        <v>563</v>
      </c>
      <c r="D370" s="8">
        <v>1.51</v>
      </c>
      <c r="E370" s="9" t="s">
        <v>548</v>
      </c>
      <c r="F370" s="4" t="s">
        <v>549</v>
      </c>
      <c r="G370" s="4" t="s">
        <v>539</v>
      </c>
      <c r="H370" s="4" t="s">
        <v>551</v>
      </c>
      <c r="I370" s="4" t="s">
        <v>540</v>
      </c>
      <c r="J370" s="4" t="s">
        <v>541</v>
      </c>
      <c r="L370" s="4" t="s">
        <v>934</v>
      </c>
      <c r="O370" s="4" t="s">
        <v>1040</v>
      </c>
      <c r="P370" s="4">
        <v>553219376</v>
      </c>
      <c r="R370" s="4">
        <v>9800</v>
      </c>
      <c r="S370">
        <f t="shared" si="10"/>
        <v>14798</v>
      </c>
      <c r="T370" s="7">
        <v>-96</v>
      </c>
      <c r="U370">
        <f t="shared" si="11"/>
        <v>591.91999999999996</v>
      </c>
      <c r="V370" s="15">
        <v>0.68400000000000005</v>
      </c>
      <c r="W370" s="15">
        <v>0.65500000000000003</v>
      </c>
      <c r="BB370" s="20" t="str">
        <f>HYPERLINK("https://v360.in/diamondview.aspx?cid=preet&amp;d=HN-127-53","https://v360.in/diamondview.aspx?cid=preet&amp;d=HN-127-53")</f>
        <v>https://v360.in/diamondview.aspx?cid=preet&amp;d=HN-127-53</v>
      </c>
    </row>
    <row r="371" spans="1:54" ht="16" x14ac:dyDescent="0.2">
      <c r="A371" s="4" t="s">
        <v>431</v>
      </c>
      <c r="B371" s="7" t="s">
        <v>536</v>
      </c>
      <c r="C371" s="4" t="s">
        <v>563</v>
      </c>
      <c r="D371" s="8">
        <v>1.51</v>
      </c>
      <c r="E371" s="9" t="s">
        <v>546</v>
      </c>
      <c r="F371" s="4" t="s">
        <v>549</v>
      </c>
      <c r="G371" s="4" t="s">
        <v>539</v>
      </c>
      <c r="H371" s="4" t="s">
        <v>540</v>
      </c>
      <c r="I371" s="4" t="s">
        <v>540</v>
      </c>
      <c r="J371" s="4" t="s">
        <v>541</v>
      </c>
      <c r="L371" s="4" t="s">
        <v>935</v>
      </c>
      <c r="O371" s="4" t="s">
        <v>1040</v>
      </c>
      <c r="P371" s="4">
        <v>559298574</v>
      </c>
      <c r="R371" s="4">
        <v>9300</v>
      </c>
      <c r="S371">
        <f t="shared" si="10"/>
        <v>14043</v>
      </c>
      <c r="T371" s="7">
        <v>-96</v>
      </c>
      <c r="U371">
        <f t="shared" si="11"/>
        <v>561.72</v>
      </c>
      <c r="V371" s="15">
        <v>0.67800000000000005</v>
      </c>
      <c r="W371" s="15">
        <v>0.65500000000000003</v>
      </c>
      <c r="BB371" s="20" t="str">
        <f>HYPERLINK("https://v360.in/diamondview.aspx?cid=preet&amp;d=HN-129-26","https://v360.in/diamondview.aspx?cid=preet&amp;d=HN-129-26")</f>
        <v>https://v360.in/diamondview.aspx?cid=preet&amp;d=HN-129-26</v>
      </c>
    </row>
    <row r="372" spans="1:54" ht="16" x14ac:dyDescent="0.2">
      <c r="A372" s="4" t="s">
        <v>432</v>
      </c>
      <c r="B372" s="7" t="s">
        <v>536</v>
      </c>
      <c r="C372" s="4" t="s">
        <v>563</v>
      </c>
      <c r="D372" s="8">
        <v>1.51</v>
      </c>
      <c r="E372" s="9" t="s">
        <v>542</v>
      </c>
      <c r="F372" s="4" t="s">
        <v>547</v>
      </c>
      <c r="G372" s="4" t="s">
        <v>539</v>
      </c>
      <c r="H372" s="4" t="s">
        <v>540</v>
      </c>
      <c r="I372" s="4" t="s">
        <v>540</v>
      </c>
      <c r="J372" s="4" t="s">
        <v>541</v>
      </c>
      <c r="L372" s="4" t="s">
        <v>936</v>
      </c>
      <c r="O372" s="4" t="s">
        <v>1040</v>
      </c>
      <c r="P372" s="4">
        <v>570370814</v>
      </c>
      <c r="R372" s="4">
        <v>9900</v>
      </c>
      <c r="S372">
        <f t="shared" si="10"/>
        <v>14949</v>
      </c>
      <c r="T372" s="7">
        <v>-96</v>
      </c>
      <c r="U372">
        <f t="shared" si="11"/>
        <v>597.96</v>
      </c>
      <c r="V372" s="15">
        <v>0.65300000000000002</v>
      </c>
      <c r="W372" s="15">
        <v>0.63500000000000001</v>
      </c>
      <c r="BB372" s="20" t="str">
        <f>HYPERLINK("https://v360.in/diamondview.aspx?cid=preet&amp;d=HN-149-5","https://v360.in/diamondview.aspx?cid=preet&amp;d=HN-149-5")</f>
        <v>https://v360.in/diamondview.aspx?cid=preet&amp;d=HN-149-5</v>
      </c>
    </row>
    <row r="373" spans="1:54" ht="16" x14ac:dyDescent="0.2">
      <c r="A373" s="4" t="s">
        <v>433</v>
      </c>
      <c r="B373" s="7" t="s">
        <v>536</v>
      </c>
      <c r="C373" s="4" t="s">
        <v>563</v>
      </c>
      <c r="D373" s="8">
        <v>1.5</v>
      </c>
      <c r="E373" s="9" t="s">
        <v>546</v>
      </c>
      <c r="F373" s="4" t="s">
        <v>538</v>
      </c>
      <c r="G373" s="4" t="s">
        <v>539</v>
      </c>
      <c r="H373" s="4" t="s">
        <v>540</v>
      </c>
      <c r="I373" s="4" t="s">
        <v>540</v>
      </c>
      <c r="J373" s="4" t="s">
        <v>541</v>
      </c>
      <c r="L373" s="4" t="s">
        <v>937</v>
      </c>
      <c r="O373" s="4" t="s">
        <v>1040</v>
      </c>
      <c r="P373" s="4">
        <v>547266590</v>
      </c>
      <c r="R373" s="4">
        <v>10900</v>
      </c>
      <c r="S373">
        <f t="shared" si="10"/>
        <v>16350</v>
      </c>
      <c r="T373" s="7">
        <v>-96</v>
      </c>
      <c r="U373">
        <f t="shared" si="11"/>
        <v>654</v>
      </c>
      <c r="V373" s="15">
        <v>0.63700000000000001</v>
      </c>
      <c r="W373" s="16">
        <v>0.7</v>
      </c>
      <c r="BB373" s="20" t="str">
        <f>HYPERLINK("https://view.gem360.in/gem360/0304230719-HN-87-114/gem360-0304230719-HN-87-114.html","https://view.gem360.in/gem360/0304230719-HN-87-114/gem360-0304230719-HN-87-114.html")</f>
        <v>https://view.gem360.in/gem360/0304230719-HN-87-114/gem360-0304230719-HN-87-114.html</v>
      </c>
    </row>
    <row r="374" spans="1:54" ht="16" x14ac:dyDescent="0.2">
      <c r="A374" s="4" t="s">
        <v>434</v>
      </c>
      <c r="B374" s="7" t="s">
        <v>536</v>
      </c>
      <c r="C374" s="4" t="s">
        <v>563</v>
      </c>
      <c r="D374" s="8">
        <v>1.5</v>
      </c>
      <c r="E374" s="9" t="s">
        <v>546</v>
      </c>
      <c r="F374" s="4" t="s">
        <v>544</v>
      </c>
      <c r="G374" s="4" t="s">
        <v>539</v>
      </c>
      <c r="H374" s="4" t="s">
        <v>540</v>
      </c>
      <c r="I374" s="4" t="s">
        <v>540</v>
      </c>
      <c r="J374" s="4" t="s">
        <v>541</v>
      </c>
      <c r="L374" s="4" t="s">
        <v>938</v>
      </c>
      <c r="O374" s="4" t="s">
        <v>1040</v>
      </c>
      <c r="P374" s="4">
        <v>584379539</v>
      </c>
      <c r="R374" s="4">
        <v>12200</v>
      </c>
      <c r="S374">
        <f t="shared" si="10"/>
        <v>18300</v>
      </c>
      <c r="T374" s="7">
        <v>-96</v>
      </c>
      <c r="U374">
        <f t="shared" si="11"/>
        <v>732</v>
      </c>
      <c r="V374" s="15">
        <v>0.67700000000000005</v>
      </c>
      <c r="W374" s="16">
        <v>0.73</v>
      </c>
      <c r="BB374" s="20" t="str">
        <f>HYPERLINK("https://view.gem360.in/gem360/0706230514-HN-747/gem360-0706230514-HN-747.html","https://view.gem360.in/gem360/0706230514-HN-747/gem360-0706230514-HN-747.html")</f>
        <v>https://view.gem360.in/gem360/0706230514-HN-747/gem360-0706230514-HN-747.html</v>
      </c>
    </row>
    <row r="375" spans="1:54" ht="16" x14ac:dyDescent="0.2">
      <c r="A375" s="4" t="s">
        <v>435</v>
      </c>
      <c r="B375" s="7" t="s">
        <v>536</v>
      </c>
      <c r="C375" s="4" t="s">
        <v>563</v>
      </c>
      <c r="D375" s="8">
        <v>1.5</v>
      </c>
      <c r="E375" s="9" t="s">
        <v>546</v>
      </c>
      <c r="F375" s="4" t="s">
        <v>549</v>
      </c>
      <c r="G375" s="4" t="s">
        <v>539</v>
      </c>
      <c r="H375" s="4" t="s">
        <v>540</v>
      </c>
      <c r="I375" s="4" t="s">
        <v>540</v>
      </c>
      <c r="J375" s="4" t="s">
        <v>541</v>
      </c>
      <c r="L375" s="4" t="s">
        <v>939</v>
      </c>
      <c r="O375" s="4" t="s">
        <v>1040</v>
      </c>
      <c r="P375" s="4">
        <v>559298584</v>
      </c>
      <c r="R375" s="4">
        <v>9300</v>
      </c>
      <c r="S375">
        <f t="shared" si="10"/>
        <v>13950</v>
      </c>
      <c r="T375" s="7">
        <v>-96</v>
      </c>
      <c r="U375">
        <f t="shared" si="11"/>
        <v>558</v>
      </c>
      <c r="V375" s="15">
        <v>0.64800000000000002</v>
      </c>
      <c r="W375" s="4">
        <v>67</v>
      </c>
      <c r="BB375" s="20" t="str">
        <f>HYPERLINK("https://v360.in/diamondview.aspx?cid=preet&amp;d=HN-130-10","https://v360.in/diamondview.aspx?cid=preet&amp;d=HN-130-10")</f>
        <v>https://v360.in/diamondview.aspx?cid=preet&amp;d=HN-130-10</v>
      </c>
    </row>
    <row r="376" spans="1:54" ht="16" x14ac:dyDescent="0.2">
      <c r="A376" s="4" t="s">
        <v>436</v>
      </c>
      <c r="B376" s="7" t="s">
        <v>536</v>
      </c>
      <c r="C376" s="4" t="s">
        <v>563</v>
      </c>
      <c r="D376" s="8">
        <v>1.5</v>
      </c>
      <c r="E376" s="9" t="s">
        <v>536</v>
      </c>
      <c r="F376" s="4" t="s">
        <v>547</v>
      </c>
      <c r="G376" s="4" t="s">
        <v>539</v>
      </c>
      <c r="H376" s="4" t="s">
        <v>540</v>
      </c>
      <c r="I376" s="4" t="s">
        <v>540</v>
      </c>
      <c r="J376" s="4" t="s">
        <v>541</v>
      </c>
      <c r="L376" s="4" t="s">
        <v>940</v>
      </c>
      <c r="O376" s="4" t="s">
        <v>1040</v>
      </c>
      <c r="P376" s="4">
        <v>572327193</v>
      </c>
      <c r="R376" s="4">
        <v>11700</v>
      </c>
      <c r="S376">
        <f t="shared" si="10"/>
        <v>17550</v>
      </c>
      <c r="T376" s="7">
        <v>-96</v>
      </c>
      <c r="U376">
        <f t="shared" si="11"/>
        <v>702</v>
      </c>
      <c r="V376" s="15">
        <v>0.68500000000000005</v>
      </c>
      <c r="W376" s="15">
        <v>0.66500000000000004</v>
      </c>
      <c r="BB376" s="20" t="str">
        <f>HYPERLINK("https://v360.in/diamondview.aspx?cid=preet&amp;d=HN-151-12","https://v360.in/diamondview.aspx?cid=preet&amp;d=HN-151-12")</f>
        <v>https://v360.in/diamondview.aspx?cid=preet&amp;d=HN-151-12</v>
      </c>
    </row>
    <row r="377" spans="1:54" ht="16" x14ac:dyDescent="0.2">
      <c r="A377" s="4" t="s">
        <v>437</v>
      </c>
      <c r="B377" s="7" t="s">
        <v>536</v>
      </c>
      <c r="C377" s="4" t="s">
        <v>563</v>
      </c>
      <c r="D377" s="8">
        <v>1.5</v>
      </c>
      <c r="E377" s="9" t="s">
        <v>536</v>
      </c>
      <c r="F377" s="4" t="s">
        <v>544</v>
      </c>
      <c r="G377" s="4" t="s">
        <v>539</v>
      </c>
      <c r="H377" s="4" t="s">
        <v>540</v>
      </c>
      <c r="I377" s="4" t="s">
        <v>540</v>
      </c>
      <c r="J377" s="4" t="s">
        <v>541</v>
      </c>
      <c r="L377" s="4" t="s">
        <v>941</v>
      </c>
      <c r="O377" s="4" t="s">
        <v>1040</v>
      </c>
      <c r="P377" s="4">
        <v>581346408</v>
      </c>
      <c r="R377" s="4">
        <v>11200</v>
      </c>
      <c r="S377">
        <f t="shared" si="10"/>
        <v>16800</v>
      </c>
      <c r="T377" s="7">
        <v>-96</v>
      </c>
      <c r="U377">
        <f t="shared" si="11"/>
        <v>672</v>
      </c>
      <c r="V377" s="15">
        <v>0.60099999999999998</v>
      </c>
      <c r="W377" s="16">
        <v>0.79</v>
      </c>
      <c r="BB377" s="20" t="str">
        <f>HYPERLINK("https://view.gem360.in/gem360/2205230539-HN-167-78/gem360-2205230539-HN-167-78.html","https://view.gem360.in/gem360/2205230539-HN-167-78/gem360-2205230539-HN-167-78.html")</f>
        <v>https://view.gem360.in/gem360/2205230539-HN-167-78/gem360-2205230539-HN-167-78.html</v>
      </c>
    </row>
    <row r="378" spans="1:54" ht="16" x14ac:dyDescent="0.2">
      <c r="A378" s="4" t="s">
        <v>438</v>
      </c>
      <c r="B378" s="7" t="s">
        <v>536</v>
      </c>
      <c r="C378" s="4" t="s">
        <v>563</v>
      </c>
      <c r="D378" s="8">
        <v>1.5</v>
      </c>
      <c r="E378" s="9" t="s">
        <v>542</v>
      </c>
      <c r="F378" s="4" t="s">
        <v>549</v>
      </c>
      <c r="G378" s="4" t="s">
        <v>539</v>
      </c>
      <c r="H378" s="4" t="s">
        <v>540</v>
      </c>
      <c r="I378" s="4" t="s">
        <v>540</v>
      </c>
      <c r="J378" s="4" t="s">
        <v>541</v>
      </c>
      <c r="L378" s="4" t="s">
        <v>942</v>
      </c>
      <c r="O378" s="4" t="s">
        <v>1040</v>
      </c>
      <c r="P378" s="4">
        <v>496107131</v>
      </c>
      <c r="R378" s="4">
        <v>8000</v>
      </c>
      <c r="S378">
        <f t="shared" si="10"/>
        <v>12000</v>
      </c>
      <c r="T378" s="7">
        <v>-96</v>
      </c>
      <c r="U378">
        <f t="shared" si="11"/>
        <v>480</v>
      </c>
      <c r="V378" s="15">
        <v>0.66200000000000003</v>
      </c>
      <c r="W378" s="16">
        <v>0.7</v>
      </c>
      <c r="BB378" s="20" t="str">
        <f>HYPERLINK("https://view.gem360.in/gem360/2810210623-HN100-5/gem360-2810210623-HN100-5.html","https://view.gem360.in/gem360/2810210623-HN100-5/gem360-2810210623-HN100-5.html")</f>
        <v>https://view.gem360.in/gem360/2810210623-HN100-5/gem360-2810210623-HN100-5.html</v>
      </c>
    </row>
    <row r="379" spans="1:54" ht="16" x14ac:dyDescent="0.2">
      <c r="A379" s="4" t="s">
        <v>439</v>
      </c>
      <c r="B379" s="7" t="s">
        <v>536</v>
      </c>
      <c r="C379" s="4" t="s">
        <v>563</v>
      </c>
      <c r="D379" s="8">
        <v>1.42</v>
      </c>
      <c r="E379" s="9" t="s">
        <v>546</v>
      </c>
      <c r="F379" s="4" t="s">
        <v>538</v>
      </c>
      <c r="G379" s="4" t="s">
        <v>539</v>
      </c>
      <c r="H379" s="4" t="s">
        <v>540</v>
      </c>
      <c r="I379" s="4" t="s">
        <v>540</v>
      </c>
      <c r="J379" s="4" t="s">
        <v>541</v>
      </c>
      <c r="L379" s="4" t="s">
        <v>943</v>
      </c>
      <c r="O379" s="4" t="s">
        <v>1040</v>
      </c>
      <c r="P379" s="4">
        <v>561259404</v>
      </c>
      <c r="R379" s="4">
        <v>6900</v>
      </c>
      <c r="S379">
        <f t="shared" si="10"/>
        <v>9798</v>
      </c>
      <c r="T379" s="7">
        <v>-96</v>
      </c>
      <c r="U379">
        <f t="shared" si="11"/>
        <v>391.91999999999996</v>
      </c>
      <c r="V379" s="15">
        <v>0.65300000000000002</v>
      </c>
      <c r="W379" s="4">
        <v>68</v>
      </c>
      <c r="BB379" s="20" t="str">
        <f>HYPERLINK("https://v360.in/diamondview.aspx?cid=preet&amp;d=HN-130-21","https://v360.in/diamondview.aspx?cid=preet&amp;d=HN-130-21")</f>
        <v>https://v360.in/diamondview.aspx?cid=preet&amp;d=HN-130-21</v>
      </c>
    </row>
    <row r="380" spans="1:54" ht="16" x14ac:dyDescent="0.2">
      <c r="A380" s="4" t="s">
        <v>440</v>
      </c>
      <c r="B380" s="7" t="s">
        <v>536</v>
      </c>
      <c r="C380" s="4" t="s">
        <v>563</v>
      </c>
      <c r="D380" s="8">
        <v>1.41</v>
      </c>
      <c r="E380" s="9" t="s">
        <v>536</v>
      </c>
      <c r="F380" s="4" t="s">
        <v>538</v>
      </c>
      <c r="G380" s="4" t="s">
        <v>539</v>
      </c>
      <c r="H380" s="4" t="s">
        <v>540</v>
      </c>
      <c r="I380" s="4" t="s">
        <v>540</v>
      </c>
      <c r="J380" s="4" t="s">
        <v>541</v>
      </c>
      <c r="L380" s="4" t="s">
        <v>944</v>
      </c>
      <c r="O380" s="4" t="s">
        <v>1040</v>
      </c>
      <c r="P380" s="4">
        <v>570376197</v>
      </c>
      <c r="R380" s="4">
        <v>6600</v>
      </c>
      <c r="S380">
        <f t="shared" si="10"/>
        <v>9306</v>
      </c>
      <c r="T380" s="7">
        <v>-96</v>
      </c>
      <c r="U380">
        <f t="shared" si="11"/>
        <v>372.23999999999995</v>
      </c>
      <c r="V380" s="15">
        <v>0.67100000000000004</v>
      </c>
      <c r="W380" s="15">
        <v>0.63500000000000001</v>
      </c>
      <c r="BB380" s="20" t="str">
        <f>HYPERLINK("https://v360.in/diamondview.aspx?cid=preet&amp;d=HN-148-12","https://v360.in/diamondview.aspx?cid=preet&amp;d=HN-148-12")</f>
        <v>https://v360.in/diamondview.aspx?cid=preet&amp;d=HN-148-12</v>
      </c>
    </row>
    <row r="381" spans="1:54" ht="16" x14ac:dyDescent="0.2">
      <c r="A381" s="4" t="s">
        <v>441</v>
      </c>
      <c r="B381" s="7" t="s">
        <v>536</v>
      </c>
      <c r="C381" s="4" t="s">
        <v>563</v>
      </c>
      <c r="D381" s="8">
        <v>1.4</v>
      </c>
      <c r="E381" s="9" t="s">
        <v>546</v>
      </c>
      <c r="F381" s="4" t="s">
        <v>538</v>
      </c>
      <c r="G381" s="4" t="s">
        <v>539</v>
      </c>
      <c r="H381" s="4" t="s">
        <v>540</v>
      </c>
      <c r="I381" s="4" t="s">
        <v>540</v>
      </c>
      <c r="J381" s="4" t="s">
        <v>541</v>
      </c>
      <c r="L381" s="4" t="s">
        <v>945</v>
      </c>
      <c r="O381" s="4" t="s">
        <v>1040</v>
      </c>
      <c r="P381" s="4">
        <v>571301011</v>
      </c>
      <c r="R381" s="4">
        <v>6900</v>
      </c>
      <c r="S381">
        <f t="shared" si="10"/>
        <v>9660</v>
      </c>
      <c r="T381" s="7">
        <v>-96</v>
      </c>
      <c r="U381">
        <f t="shared" si="11"/>
        <v>386.4</v>
      </c>
      <c r="V381" s="15">
        <v>0.68100000000000005</v>
      </c>
      <c r="W381" s="16">
        <v>0.7</v>
      </c>
      <c r="BB381" s="20" t="str">
        <f>HYPERLINK("https://v360.in/diamondview.aspx?cid=preet&amp;d=HN-141-18","https://v360.in/diamondview.aspx?cid=preet&amp;d=HN-141-18")</f>
        <v>https://v360.in/diamondview.aspx?cid=preet&amp;d=HN-141-18</v>
      </c>
    </row>
    <row r="382" spans="1:54" ht="16" x14ac:dyDescent="0.2">
      <c r="A382" s="4" t="s">
        <v>442</v>
      </c>
      <c r="B382" s="7" t="s">
        <v>536</v>
      </c>
      <c r="C382" s="4" t="s">
        <v>563</v>
      </c>
      <c r="D382" s="8">
        <v>1.4</v>
      </c>
      <c r="E382" s="9" t="s">
        <v>536</v>
      </c>
      <c r="F382" s="4" t="s">
        <v>538</v>
      </c>
      <c r="G382" s="4" t="s">
        <v>539</v>
      </c>
      <c r="H382" s="4" t="s">
        <v>540</v>
      </c>
      <c r="I382" s="4" t="s">
        <v>540</v>
      </c>
      <c r="J382" s="4" t="s">
        <v>541</v>
      </c>
      <c r="L382" s="4" t="s">
        <v>946</v>
      </c>
      <c r="O382" s="4" t="s">
        <v>1040</v>
      </c>
      <c r="P382" s="4">
        <v>569328546</v>
      </c>
      <c r="R382" s="4">
        <v>6600</v>
      </c>
      <c r="S382">
        <f t="shared" si="10"/>
        <v>9240</v>
      </c>
      <c r="T382" s="7">
        <v>-96</v>
      </c>
      <c r="U382">
        <f t="shared" si="11"/>
        <v>369.59999999999997</v>
      </c>
      <c r="V382" s="15">
        <v>0.622</v>
      </c>
      <c r="W382" s="16">
        <v>0.56000000000000005</v>
      </c>
      <c r="BB382" s="20" t="str">
        <f>HYPERLINK("https://v360.in/diamondview.aspx?cid=preet&amp;d=HN-137-14","https://v360.in/diamondview.aspx?cid=preet&amp;d=HN-137-14")</f>
        <v>https://v360.in/diamondview.aspx?cid=preet&amp;d=HN-137-14</v>
      </c>
    </row>
    <row r="383" spans="1:54" ht="16" x14ac:dyDescent="0.2">
      <c r="A383" s="4" t="s">
        <v>443</v>
      </c>
      <c r="B383" s="7" t="s">
        <v>536</v>
      </c>
      <c r="C383" s="4" t="s">
        <v>563</v>
      </c>
      <c r="D383" s="8">
        <v>1.38</v>
      </c>
      <c r="E383" s="9" t="s">
        <v>546</v>
      </c>
      <c r="F383" s="4" t="s">
        <v>544</v>
      </c>
      <c r="G383" s="4" t="s">
        <v>539</v>
      </c>
      <c r="H383" s="4" t="s">
        <v>540</v>
      </c>
      <c r="I383" s="4" t="s">
        <v>540</v>
      </c>
      <c r="J383" s="4" t="s">
        <v>541</v>
      </c>
      <c r="L383" s="4" t="s">
        <v>947</v>
      </c>
      <c r="O383" s="4" t="s">
        <v>1040</v>
      </c>
      <c r="P383" s="4">
        <v>553259832</v>
      </c>
      <c r="R383" s="4">
        <v>7500</v>
      </c>
      <c r="S383">
        <f t="shared" si="10"/>
        <v>10350</v>
      </c>
      <c r="T383" s="7">
        <v>-96</v>
      </c>
      <c r="U383">
        <f t="shared" si="11"/>
        <v>413.99999999999994</v>
      </c>
      <c r="V383" s="15">
        <v>0.71399999999999997</v>
      </c>
      <c r="W383" s="15">
        <v>0.61499999999999999</v>
      </c>
      <c r="BB383" s="20" t="str">
        <f>HYPERLINK("https://v360.in/diamondview.aspx?cid=preet&amp;d=HN-128-50","https://v360.in/diamondview.aspx?cid=preet&amp;d=HN-128-50")</f>
        <v>https://v360.in/diamondview.aspx?cid=preet&amp;d=HN-128-50</v>
      </c>
    </row>
    <row r="384" spans="1:54" ht="16" x14ac:dyDescent="0.2">
      <c r="A384" s="4" t="s">
        <v>444</v>
      </c>
      <c r="B384" s="7" t="s">
        <v>536</v>
      </c>
      <c r="C384" s="4" t="s">
        <v>563</v>
      </c>
      <c r="D384" s="8">
        <v>1.37</v>
      </c>
      <c r="E384" s="9" t="s">
        <v>536</v>
      </c>
      <c r="F384" s="4" t="s">
        <v>544</v>
      </c>
      <c r="G384" s="4" t="s">
        <v>539</v>
      </c>
      <c r="H384" s="4" t="s">
        <v>540</v>
      </c>
      <c r="I384" s="4" t="s">
        <v>540</v>
      </c>
      <c r="J384" s="4" t="s">
        <v>541</v>
      </c>
      <c r="L384" s="4" t="s">
        <v>948</v>
      </c>
      <c r="O384" s="4" t="s">
        <v>1040</v>
      </c>
      <c r="P384" s="4">
        <v>571301012</v>
      </c>
      <c r="R384" s="4">
        <v>7000</v>
      </c>
      <c r="S384">
        <f t="shared" si="10"/>
        <v>9590</v>
      </c>
      <c r="T384" s="7">
        <v>-96</v>
      </c>
      <c r="U384">
        <f t="shared" si="11"/>
        <v>383.6</v>
      </c>
      <c r="V384" s="16">
        <v>0.66</v>
      </c>
      <c r="W384" s="16">
        <v>0.7</v>
      </c>
      <c r="BB384" s="20" t="str">
        <f>HYPERLINK("https://v360.in/diamondview.aspx?cid=preet&amp;d=HN-141-19","https://v360.in/diamondview.aspx?cid=preet&amp;d=HN-141-19")</f>
        <v>https://v360.in/diamondview.aspx?cid=preet&amp;d=HN-141-19</v>
      </c>
    </row>
    <row r="385" spans="1:54" ht="16" x14ac:dyDescent="0.2">
      <c r="A385" s="4" t="s">
        <v>445</v>
      </c>
      <c r="B385" s="7" t="s">
        <v>536</v>
      </c>
      <c r="C385" s="4" t="s">
        <v>563</v>
      </c>
      <c r="D385" s="8">
        <v>1.36</v>
      </c>
      <c r="E385" s="9" t="s">
        <v>546</v>
      </c>
      <c r="F385" s="4" t="s">
        <v>544</v>
      </c>
      <c r="G385" s="4" t="s">
        <v>539</v>
      </c>
      <c r="H385" s="4" t="s">
        <v>540</v>
      </c>
      <c r="I385" s="4" t="s">
        <v>540</v>
      </c>
      <c r="J385" s="4" t="s">
        <v>541</v>
      </c>
      <c r="L385" s="4" t="s">
        <v>949</v>
      </c>
      <c r="O385" s="4" t="s">
        <v>1040</v>
      </c>
      <c r="P385" s="4">
        <v>571307670</v>
      </c>
      <c r="R385" s="4">
        <v>7500</v>
      </c>
      <c r="S385">
        <f t="shared" si="10"/>
        <v>10200</v>
      </c>
      <c r="T385" s="7">
        <v>-96</v>
      </c>
      <c r="U385">
        <f t="shared" si="11"/>
        <v>408.00000000000006</v>
      </c>
      <c r="V385" s="15">
        <v>0.68200000000000005</v>
      </c>
      <c r="W385" s="16">
        <v>0.64</v>
      </c>
      <c r="BB385" s="20" t="str">
        <f>HYPERLINK("https://v360.in/diamondview.aspx?cid=preet&amp;d=HN-150-17","https://v360.in/diamondview.aspx?cid=preet&amp;d=HN-150-17")</f>
        <v>https://v360.in/diamondview.aspx?cid=preet&amp;d=HN-150-17</v>
      </c>
    </row>
    <row r="386" spans="1:54" ht="16" x14ac:dyDescent="0.2">
      <c r="A386" s="4" t="s">
        <v>446</v>
      </c>
      <c r="B386" s="7" t="s">
        <v>536</v>
      </c>
      <c r="C386" s="4" t="s">
        <v>563</v>
      </c>
      <c r="D386" s="8">
        <v>1.35</v>
      </c>
      <c r="E386" s="9" t="s">
        <v>536</v>
      </c>
      <c r="F386" s="4" t="s">
        <v>544</v>
      </c>
      <c r="G386" s="4" t="s">
        <v>539</v>
      </c>
      <c r="H386" s="4" t="s">
        <v>540</v>
      </c>
      <c r="I386" s="4" t="s">
        <v>540</v>
      </c>
      <c r="J386" s="4" t="s">
        <v>541</v>
      </c>
      <c r="L386" s="4" t="s">
        <v>950</v>
      </c>
      <c r="O386" s="4" t="s">
        <v>1040</v>
      </c>
      <c r="P386" s="4">
        <v>571301010</v>
      </c>
      <c r="R386" s="4">
        <v>7000</v>
      </c>
      <c r="S386">
        <f t="shared" si="10"/>
        <v>9450</v>
      </c>
      <c r="T386" s="7">
        <v>-96</v>
      </c>
      <c r="U386">
        <f t="shared" si="11"/>
        <v>378</v>
      </c>
      <c r="V386" s="15">
        <v>0.67400000000000004</v>
      </c>
      <c r="W386" s="15">
        <v>0.69499999999999995</v>
      </c>
      <c r="BB386" s="20" t="str">
        <f>HYPERLINK("https://v360.in/diamondview.aspx?cid=preet&amp;d=HN-141-17","https://v360.in/diamondview.aspx?cid=preet&amp;d=HN-141-17")</f>
        <v>https://v360.in/diamondview.aspx?cid=preet&amp;d=HN-141-17</v>
      </c>
    </row>
    <row r="387" spans="1:54" ht="16" x14ac:dyDescent="0.2">
      <c r="A387" s="4" t="s">
        <v>447</v>
      </c>
      <c r="B387" s="7" t="s">
        <v>536</v>
      </c>
      <c r="C387" s="4" t="s">
        <v>563</v>
      </c>
      <c r="D387" s="8">
        <v>1.33</v>
      </c>
      <c r="E387" s="9" t="s">
        <v>555</v>
      </c>
      <c r="F387" s="4" t="s">
        <v>549</v>
      </c>
      <c r="G387" s="4" t="s">
        <v>539</v>
      </c>
      <c r="H387" s="4" t="s">
        <v>540</v>
      </c>
      <c r="I387" s="4" t="s">
        <v>540</v>
      </c>
      <c r="J387" s="4" t="s">
        <v>541</v>
      </c>
      <c r="L387" s="4" t="s">
        <v>951</v>
      </c>
      <c r="O387" s="4" t="s">
        <v>1040</v>
      </c>
      <c r="P387" s="4">
        <v>524211504</v>
      </c>
      <c r="R387" s="4">
        <v>4100</v>
      </c>
      <c r="S387">
        <f t="shared" ref="S387:S450" si="12">R387*D387</f>
        <v>5453</v>
      </c>
      <c r="T387" s="7">
        <v>-96</v>
      </c>
      <c r="U387">
        <f t="shared" ref="U387:U450" si="13">(R387+(R387*T387)/100)*D387</f>
        <v>218.12</v>
      </c>
      <c r="V387" s="15">
        <v>0.63600000000000001</v>
      </c>
      <c r="W387" s="16">
        <v>0.69</v>
      </c>
      <c r="BB387" s="20" t="str">
        <f>HYPERLINK("https://view.gem360.in/gem360/3004220441-HN43-24/gem360-3004220441-HN43-24.html","https://view.gem360.in/gem360/3004220441-HN43-24/gem360-3004220441-HN43-24.html")</f>
        <v>https://view.gem360.in/gem360/3004220441-HN43-24/gem360-3004220441-HN43-24.html</v>
      </c>
    </row>
    <row r="388" spans="1:54" ht="16" x14ac:dyDescent="0.2">
      <c r="A388" s="4" t="s">
        <v>448</v>
      </c>
      <c r="B388" s="7" t="s">
        <v>536</v>
      </c>
      <c r="C388" s="4" t="s">
        <v>563</v>
      </c>
      <c r="D388" s="8">
        <v>1.32</v>
      </c>
      <c r="E388" s="9" t="s">
        <v>536</v>
      </c>
      <c r="F388" s="4" t="s">
        <v>549</v>
      </c>
      <c r="G388" s="4" t="s">
        <v>539</v>
      </c>
      <c r="H388" s="4" t="s">
        <v>540</v>
      </c>
      <c r="I388" s="4" t="s">
        <v>551</v>
      </c>
      <c r="J388" s="4" t="s">
        <v>541</v>
      </c>
      <c r="L388" s="4" t="s">
        <v>952</v>
      </c>
      <c r="O388" s="4" t="s">
        <v>1040</v>
      </c>
      <c r="P388" s="4">
        <v>566393804</v>
      </c>
      <c r="R388" s="4">
        <v>5000</v>
      </c>
      <c r="S388">
        <f t="shared" si="12"/>
        <v>6600</v>
      </c>
      <c r="T388" s="7">
        <v>-96</v>
      </c>
      <c r="U388">
        <f t="shared" si="13"/>
        <v>264</v>
      </c>
      <c r="V388" s="15">
        <v>0.63200000000000001</v>
      </c>
      <c r="W388" s="15">
        <v>0.69499999999999995</v>
      </c>
      <c r="BB388" s="20" t="str">
        <f>HYPERLINK("https://v360.in/diamondview.aspx?cid=preet&amp;d=HN-135-18","https://v360.in/diamondview.aspx?cid=preet&amp;d=HN-135-18")</f>
        <v>https://v360.in/diamondview.aspx?cid=preet&amp;d=HN-135-18</v>
      </c>
    </row>
    <row r="389" spans="1:54" ht="16" x14ac:dyDescent="0.2">
      <c r="A389" s="4" t="s">
        <v>449</v>
      </c>
      <c r="B389" s="7" t="s">
        <v>536</v>
      </c>
      <c r="C389" s="4" t="s">
        <v>563</v>
      </c>
      <c r="D389" s="8">
        <v>1.31</v>
      </c>
      <c r="E389" s="9" t="s">
        <v>548</v>
      </c>
      <c r="F389" s="4" t="s">
        <v>538</v>
      </c>
      <c r="G389" s="4" t="s">
        <v>539</v>
      </c>
      <c r="H389" s="4" t="s">
        <v>540</v>
      </c>
      <c r="I389" s="4" t="s">
        <v>540</v>
      </c>
      <c r="J389" s="4" t="s">
        <v>541</v>
      </c>
      <c r="L389" s="4" t="s">
        <v>953</v>
      </c>
      <c r="O389" s="4" t="s">
        <v>1040</v>
      </c>
      <c r="P389" s="4">
        <v>561259405</v>
      </c>
      <c r="R389" s="4">
        <v>7200</v>
      </c>
      <c r="S389">
        <f t="shared" si="12"/>
        <v>9432</v>
      </c>
      <c r="T389" s="7">
        <v>-96</v>
      </c>
      <c r="U389">
        <f t="shared" si="13"/>
        <v>377.28000000000003</v>
      </c>
      <c r="V389" s="15">
        <v>0.68799999999999994</v>
      </c>
      <c r="W389" s="4">
        <v>67</v>
      </c>
      <c r="BB389" s="20" t="str">
        <f>HYPERLINK("https://v360.in/diamondview.aspx?cid=preet&amp;d=HN-130-41","https://v360.in/diamondview.aspx?cid=preet&amp;d=HN-130-41")</f>
        <v>https://v360.in/diamondview.aspx?cid=preet&amp;d=HN-130-41</v>
      </c>
    </row>
    <row r="390" spans="1:54" ht="16" x14ac:dyDescent="0.2">
      <c r="A390" s="4" t="s">
        <v>450</v>
      </c>
      <c r="B390" s="7" t="s">
        <v>536</v>
      </c>
      <c r="C390" s="4" t="s">
        <v>563</v>
      </c>
      <c r="D390" s="8">
        <v>1.31</v>
      </c>
      <c r="E390" s="9" t="s">
        <v>536</v>
      </c>
      <c r="F390" s="4" t="s">
        <v>538</v>
      </c>
      <c r="G390" s="4" t="s">
        <v>539</v>
      </c>
      <c r="H390" s="4" t="s">
        <v>540</v>
      </c>
      <c r="I390" s="4" t="s">
        <v>540</v>
      </c>
      <c r="J390" s="4" t="s">
        <v>541</v>
      </c>
      <c r="L390" s="4" t="s">
        <v>954</v>
      </c>
      <c r="O390" s="4" t="s">
        <v>1040</v>
      </c>
      <c r="P390" s="4">
        <v>570376196</v>
      </c>
      <c r="R390" s="4">
        <v>6600</v>
      </c>
      <c r="S390">
        <f t="shared" si="12"/>
        <v>8646</v>
      </c>
      <c r="T390" s="7">
        <v>-96</v>
      </c>
      <c r="U390">
        <f t="shared" si="13"/>
        <v>345.84000000000003</v>
      </c>
      <c r="V390" s="15">
        <v>0.65800000000000003</v>
      </c>
      <c r="W390" s="15">
        <v>0.68500000000000005</v>
      </c>
      <c r="BB390" s="20" t="str">
        <f>HYPERLINK("https://v360.in/diamondview.aspx?cid=preet&amp;d=HN-148-15","https://v360.in/diamondview.aspx?cid=preet&amp;d=HN-148-15")</f>
        <v>https://v360.in/diamondview.aspx?cid=preet&amp;d=HN-148-15</v>
      </c>
    </row>
    <row r="391" spans="1:54" ht="16" x14ac:dyDescent="0.2">
      <c r="A391" s="4" t="s">
        <v>451</v>
      </c>
      <c r="B391" s="7" t="s">
        <v>536</v>
      </c>
      <c r="C391" s="4" t="s">
        <v>563</v>
      </c>
      <c r="D391" s="8">
        <v>1.31</v>
      </c>
      <c r="E391" s="9" t="s">
        <v>536</v>
      </c>
      <c r="F391" s="4" t="s">
        <v>544</v>
      </c>
      <c r="G391" s="4" t="s">
        <v>539</v>
      </c>
      <c r="H391" s="4" t="s">
        <v>540</v>
      </c>
      <c r="I391" s="4" t="s">
        <v>540</v>
      </c>
      <c r="J391" s="4" t="s">
        <v>541</v>
      </c>
      <c r="L391" s="4" t="s">
        <v>955</v>
      </c>
      <c r="O391" s="4" t="s">
        <v>1040</v>
      </c>
      <c r="P391" s="4">
        <v>570370813</v>
      </c>
      <c r="R391" s="4">
        <v>7000</v>
      </c>
      <c r="S391">
        <f t="shared" si="12"/>
        <v>9170</v>
      </c>
      <c r="T391" s="7">
        <v>-96</v>
      </c>
      <c r="U391">
        <f t="shared" si="13"/>
        <v>366.8</v>
      </c>
      <c r="V391" s="15">
        <v>0.68200000000000005</v>
      </c>
      <c r="W391" s="16">
        <v>0.67</v>
      </c>
      <c r="BB391" s="20" t="str">
        <f>HYPERLINK("https://v360.in/diamondview.aspx?cid=preet&amp;d=HN-149-4","https://v360.in/diamondview.aspx?cid=preet&amp;d=HN-149-4")</f>
        <v>https://v360.in/diamondview.aspx?cid=preet&amp;d=HN-149-4</v>
      </c>
    </row>
    <row r="392" spans="1:54" ht="16" x14ac:dyDescent="0.2">
      <c r="A392" s="4" t="s">
        <v>452</v>
      </c>
      <c r="B392" s="7" t="s">
        <v>536</v>
      </c>
      <c r="C392" s="4" t="s">
        <v>563</v>
      </c>
      <c r="D392" s="8">
        <v>1.3</v>
      </c>
      <c r="E392" s="9" t="s">
        <v>542</v>
      </c>
      <c r="F392" s="4" t="s">
        <v>538</v>
      </c>
      <c r="G392" s="4" t="s">
        <v>539</v>
      </c>
      <c r="H392" s="4" t="s">
        <v>540</v>
      </c>
      <c r="I392" s="4" t="s">
        <v>551</v>
      </c>
      <c r="J392" s="4" t="s">
        <v>541</v>
      </c>
      <c r="L392" s="4" t="s">
        <v>956</v>
      </c>
      <c r="O392" s="4" t="s">
        <v>1040</v>
      </c>
      <c r="P392" s="4">
        <v>519258110</v>
      </c>
      <c r="R392" s="4">
        <v>5700</v>
      </c>
      <c r="S392">
        <f t="shared" si="12"/>
        <v>7410</v>
      </c>
      <c r="T392" s="7">
        <v>-96</v>
      </c>
      <c r="U392">
        <f t="shared" si="13"/>
        <v>296.40000000000003</v>
      </c>
      <c r="V392" s="15">
        <v>0.68899999999999995</v>
      </c>
      <c r="W392" s="16">
        <v>0.68</v>
      </c>
      <c r="BB392" s="20" t="str">
        <f>HYPERLINK("https://view.gem360.in/gem360/0304230726-HN-37-100A/gem360-0304230726-HN-37-100A.html","https://view.gem360.in/gem360/0304230726-HN-37-100A/gem360-0304230726-HN-37-100A.html")</f>
        <v>https://view.gem360.in/gem360/0304230726-HN-37-100A/gem360-0304230726-HN-37-100A.html</v>
      </c>
    </row>
    <row r="393" spans="1:54" ht="16" x14ac:dyDescent="0.2">
      <c r="A393" s="4" t="s">
        <v>453</v>
      </c>
      <c r="B393" s="7" t="s">
        <v>536</v>
      </c>
      <c r="C393" s="4" t="s">
        <v>563</v>
      </c>
      <c r="D393" s="8">
        <v>1.26</v>
      </c>
      <c r="E393" s="9" t="s">
        <v>536</v>
      </c>
      <c r="F393" s="4" t="s">
        <v>544</v>
      </c>
      <c r="G393" s="4" t="s">
        <v>539</v>
      </c>
      <c r="H393" s="4" t="s">
        <v>540</v>
      </c>
      <c r="I393" s="4" t="s">
        <v>540</v>
      </c>
      <c r="J393" s="4" t="s">
        <v>541</v>
      </c>
      <c r="L393" s="4" t="s">
        <v>957</v>
      </c>
      <c r="O393" s="4" t="s">
        <v>1040</v>
      </c>
      <c r="P393" s="4">
        <v>571301009</v>
      </c>
      <c r="R393" s="4">
        <v>7000</v>
      </c>
      <c r="S393">
        <f t="shared" si="12"/>
        <v>8820</v>
      </c>
      <c r="T393" s="7">
        <v>-96</v>
      </c>
      <c r="U393">
        <f t="shared" si="13"/>
        <v>352.8</v>
      </c>
      <c r="V393" s="15">
        <v>0.68600000000000005</v>
      </c>
      <c r="W393" s="16">
        <v>0.66</v>
      </c>
      <c r="BB393" s="20" t="str">
        <f>HYPERLINK("https://v360.in/diamondview.aspx?cid=preet&amp;d=HN-141-16","https://v360.in/diamondview.aspx?cid=preet&amp;d=HN-141-16")</f>
        <v>https://v360.in/diamondview.aspx?cid=preet&amp;d=HN-141-16</v>
      </c>
    </row>
    <row r="394" spans="1:54" ht="16" x14ac:dyDescent="0.2">
      <c r="A394" s="4" t="s">
        <v>454</v>
      </c>
      <c r="B394" s="7" t="s">
        <v>536</v>
      </c>
      <c r="C394" s="4" t="s">
        <v>563</v>
      </c>
      <c r="D394" s="8">
        <v>1.25</v>
      </c>
      <c r="E394" s="9" t="s">
        <v>548</v>
      </c>
      <c r="F394" s="4" t="s">
        <v>538</v>
      </c>
      <c r="G394" s="4" t="s">
        <v>539</v>
      </c>
      <c r="H394" s="4" t="s">
        <v>540</v>
      </c>
      <c r="I394" s="4" t="s">
        <v>540</v>
      </c>
      <c r="J394" s="4" t="s">
        <v>541</v>
      </c>
      <c r="L394" s="4" t="s">
        <v>958</v>
      </c>
      <c r="O394" s="4" t="s">
        <v>1040</v>
      </c>
      <c r="P394" s="4">
        <v>539217267</v>
      </c>
      <c r="R394" s="4">
        <v>7200</v>
      </c>
      <c r="S394">
        <f t="shared" si="12"/>
        <v>9000</v>
      </c>
      <c r="T394" s="7">
        <v>-96</v>
      </c>
      <c r="U394">
        <f t="shared" si="13"/>
        <v>360</v>
      </c>
      <c r="V394" s="15">
        <v>0.68799999999999994</v>
      </c>
      <c r="W394" s="16">
        <v>0.64</v>
      </c>
      <c r="BB394" s="20" t="str">
        <f>HYPERLINK("https://v360.in/diamondview.aspx?cid=meet&amp;d=HN-67-56","https://v360.in/diamondview.aspx?cid=meet&amp;d=HN-67-56")</f>
        <v>https://v360.in/diamondview.aspx?cid=meet&amp;d=HN-67-56</v>
      </c>
    </row>
    <row r="395" spans="1:54" ht="16" x14ac:dyDescent="0.2">
      <c r="A395" s="4" t="s">
        <v>455</v>
      </c>
      <c r="B395" s="7" t="s">
        <v>536</v>
      </c>
      <c r="C395" s="4" t="s">
        <v>563</v>
      </c>
      <c r="D395" s="8">
        <v>1.25</v>
      </c>
      <c r="E395" s="9" t="s">
        <v>536</v>
      </c>
      <c r="F395" s="4" t="s">
        <v>549</v>
      </c>
      <c r="G395" s="4" t="s">
        <v>539</v>
      </c>
      <c r="H395" s="4" t="s">
        <v>551</v>
      </c>
      <c r="I395" s="4" t="s">
        <v>551</v>
      </c>
      <c r="J395" s="4" t="s">
        <v>541</v>
      </c>
      <c r="L395" s="4" t="s">
        <v>959</v>
      </c>
      <c r="O395" s="4" t="s">
        <v>1040</v>
      </c>
      <c r="P395" s="4">
        <v>467147643</v>
      </c>
      <c r="R395" s="4">
        <v>5000</v>
      </c>
      <c r="S395">
        <f t="shared" si="12"/>
        <v>6250</v>
      </c>
      <c r="T395" s="7">
        <v>-96</v>
      </c>
      <c r="U395">
        <f t="shared" si="13"/>
        <v>250</v>
      </c>
      <c r="V395" s="15">
        <v>0.69099999999999995</v>
      </c>
      <c r="W395" s="16">
        <v>0.68</v>
      </c>
      <c r="BB395" s="20" t="str">
        <f>HYPERLINK("http://view.gem360.in/gem360/0605210605-HN-33-32/gem360-0605210605-HN-33-32.html","http://view.gem360.in/gem360/0605210605-HN-33-32/gem360-0605210605-HN-33-32.html")</f>
        <v>http://view.gem360.in/gem360/0605210605-HN-33-32/gem360-0605210605-HN-33-32.html</v>
      </c>
    </row>
    <row r="396" spans="1:54" ht="16" x14ac:dyDescent="0.2">
      <c r="A396" s="4" t="s">
        <v>456</v>
      </c>
      <c r="B396" s="7" t="s">
        <v>536</v>
      </c>
      <c r="C396" s="4" t="s">
        <v>563</v>
      </c>
      <c r="D396" s="8">
        <v>1.24</v>
      </c>
      <c r="E396" s="9" t="s">
        <v>548</v>
      </c>
      <c r="F396" s="4" t="s">
        <v>538</v>
      </c>
      <c r="G396" s="4" t="s">
        <v>539</v>
      </c>
      <c r="H396" s="4" t="s">
        <v>540</v>
      </c>
      <c r="I396" s="4" t="s">
        <v>540</v>
      </c>
      <c r="J396" s="4" t="s">
        <v>541</v>
      </c>
      <c r="L396" s="4" t="s">
        <v>960</v>
      </c>
      <c r="O396" s="4" t="s">
        <v>1040</v>
      </c>
      <c r="P396" s="4">
        <v>559298589</v>
      </c>
      <c r="R396" s="4">
        <v>7200</v>
      </c>
      <c r="S396">
        <f t="shared" si="12"/>
        <v>8928</v>
      </c>
      <c r="T396" s="7">
        <v>-96</v>
      </c>
      <c r="U396">
        <f t="shared" si="13"/>
        <v>357.12</v>
      </c>
      <c r="V396" s="15">
        <v>0.69399999999999995</v>
      </c>
      <c r="W396" s="4">
        <v>63</v>
      </c>
      <c r="BB396" s="20" t="str">
        <f>HYPERLINK("https://v360.in/diamondview.aspx?cid=preet&amp;d=HN-129-4","https://v360.in/diamondview.aspx?cid=preet&amp;d=HN-129-4")</f>
        <v>https://v360.in/diamondview.aspx?cid=preet&amp;d=HN-129-4</v>
      </c>
    </row>
    <row r="397" spans="1:54" ht="16" x14ac:dyDescent="0.2">
      <c r="A397" s="4" t="s">
        <v>457</v>
      </c>
      <c r="B397" s="7" t="s">
        <v>536</v>
      </c>
      <c r="C397" s="4" t="s">
        <v>563</v>
      </c>
      <c r="D397" s="8">
        <v>1.23</v>
      </c>
      <c r="E397" s="9" t="s">
        <v>536</v>
      </c>
      <c r="F397" s="4" t="s">
        <v>544</v>
      </c>
      <c r="G397" s="4" t="s">
        <v>539</v>
      </c>
      <c r="H397" s="4" t="s">
        <v>540</v>
      </c>
      <c r="I397" s="4" t="s">
        <v>540</v>
      </c>
      <c r="J397" s="4" t="s">
        <v>541</v>
      </c>
      <c r="L397" s="4" t="s">
        <v>961</v>
      </c>
      <c r="O397" s="4" t="s">
        <v>1040</v>
      </c>
      <c r="P397" s="4">
        <v>570370833</v>
      </c>
      <c r="R397" s="4">
        <v>7000</v>
      </c>
      <c r="S397">
        <f t="shared" si="12"/>
        <v>8610</v>
      </c>
      <c r="T397" s="7">
        <v>-96</v>
      </c>
      <c r="U397">
        <f t="shared" si="13"/>
        <v>344.4</v>
      </c>
      <c r="V397" s="15">
        <v>0.63400000000000001</v>
      </c>
      <c r="W397" s="16">
        <v>0.72</v>
      </c>
      <c r="BB397" s="20" t="str">
        <f>HYPERLINK("https://v360.in/diamondview.aspx?cid=preet&amp;d=HN-147-15","https://v360.in/diamondview.aspx?cid=preet&amp;d=HN-147-15")</f>
        <v>https://v360.in/diamondview.aspx?cid=preet&amp;d=HN-147-15</v>
      </c>
    </row>
    <row r="398" spans="1:54" ht="16" x14ac:dyDescent="0.2">
      <c r="A398" s="4" t="s">
        <v>458</v>
      </c>
      <c r="B398" s="7" t="s">
        <v>536</v>
      </c>
      <c r="C398" s="4" t="s">
        <v>563</v>
      </c>
      <c r="D398" s="8">
        <v>1.2</v>
      </c>
      <c r="E398" s="9" t="s">
        <v>546</v>
      </c>
      <c r="F398" s="4" t="s">
        <v>547</v>
      </c>
      <c r="G398" s="4" t="s">
        <v>539</v>
      </c>
      <c r="H398" s="4" t="s">
        <v>540</v>
      </c>
      <c r="I398" s="4" t="s">
        <v>540</v>
      </c>
      <c r="J398" s="4" t="s">
        <v>541</v>
      </c>
      <c r="L398" s="4" t="s">
        <v>962</v>
      </c>
      <c r="O398" s="4" t="s">
        <v>1040</v>
      </c>
      <c r="P398" s="4">
        <v>569328542</v>
      </c>
      <c r="R398" s="4">
        <v>8000</v>
      </c>
      <c r="S398">
        <f t="shared" si="12"/>
        <v>9600</v>
      </c>
      <c r="T398" s="7">
        <v>-96</v>
      </c>
      <c r="U398">
        <f t="shared" si="13"/>
        <v>384</v>
      </c>
      <c r="V398" s="15">
        <v>0.61699999999999999</v>
      </c>
      <c r="W398" s="15">
        <v>0.60499999999999998</v>
      </c>
      <c r="BB398" s="20" t="str">
        <f>HYPERLINK("https://v360.in/diamondview.aspx?cid=preet&amp;d=HN-137-9","https://v360.in/diamondview.aspx?cid=preet&amp;d=HN-137-9")</f>
        <v>https://v360.in/diamondview.aspx?cid=preet&amp;d=HN-137-9</v>
      </c>
    </row>
    <row r="399" spans="1:54" ht="16" x14ac:dyDescent="0.2">
      <c r="A399" s="4" t="s">
        <v>459</v>
      </c>
      <c r="B399" s="7" t="s">
        <v>536</v>
      </c>
      <c r="C399" s="4" t="s">
        <v>563</v>
      </c>
      <c r="D399" s="8">
        <v>1.2</v>
      </c>
      <c r="E399" s="9" t="s">
        <v>536</v>
      </c>
      <c r="F399" s="4" t="s">
        <v>544</v>
      </c>
      <c r="G399" s="4" t="s">
        <v>539</v>
      </c>
      <c r="H399" s="4" t="s">
        <v>540</v>
      </c>
      <c r="I399" s="4" t="s">
        <v>540</v>
      </c>
      <c r="J399" s="4" t="s">
        <v>541</v>
      </c>
      <c r="L399" s="4" t="s">
        <v>963</v>
      </c>
      <c r="O399" s="4" t="s">
        <v>1040</v>
      </c>
      <c r="P399" s="4">
        <v>569328547</v>
      </c>
      <c r="R399" s="4">
        <v>7000</v>
      </c>
      <c r="S399">
        <f t="shared" si="12"/>
        <v>8400</v>
      </c>
      <c r="T399" s="7">
        <v>-96</v>
      </c>
      <c r="U399">
        <f t="shared" si="13"/>
        <v>336</v>
      </c>
      <c r="V399" s="15">
        <v>0.68300000000000005</v>
      </c>
      <c r="W399" s="16">
        <v>0.64</v>
      </c>
      <c r="BB399" s="20" t="str">
        <f>HYPERLINK("https://v360.in/diamondview.aspx?cid=preet&amp;d=HN-137-15","https://v360.in/diamondview.aspx?cid=preet&amp;d=HN-137-15")</f>
        <v>https://v360.in/diamondview.aspx?cid=preet&amp;d=HN-137-15</v>
      </c>
    </row>
    <row r="400" spans="1:54" ht="16" x14ac:dyDescent="0.2">
      <c r="A400" s="4" t="s">
        <v>460</v>
      </c>
      <c r="B400" s="7" t="s">
        <v>536</v>
      </c>
      <c r="C400" s="4" t="s">
        <v>563</v>
      </c>
      <c r="D400" s="8">
        <v>1.2</v>
      </c>
      <c r="E400" s="9" t="s">
        <v>536</v>
      </c>
      <c r="F400" s="4" t="s">
        <v>549</v>
      </c>
      <c r="G400" s="4" t="s">
        <v>539</v>
      </c>
      <c r="H400" s="4" t="s">
        <v>540</v>
      </c>
      <c r="I400" s="4" t="s">
        <v>540</v>
      </c>
      <c r="J400" s="4" t="s">
        <v>541</v>
      </c>
      <c r="L400" s="4" t="s">
        <v>964</v>
      </c>
      <c r="O400" s="4" t="s">
        <v>1040</v>
      </c>
      <c r="P400" s="4">
        <v>564365285</v>
      </c>
      <c r="R400" s="4">
        <v>5000</v>
      </c>
      <c r="S400">
        <f t="shared" si="12"/>
        <v>6000</v>
      </c>
      <c r="T400" s="7">
        <v>-96</v>
      </c>
      <c r="U400">
        <f t="shared" si="13"/>
        <v>240</v>
      </c>
      <c r="V400" s="15">
        <v>0.69099999999999995</v>
      </c>
      <c r="W400" s="16">
        <v>0.7</v>
      </c>
      <c r="BB400" s="20" t="str">
        <f>HYPERLINK("https://v360.in/diamondview.aspx?cid=preet&amp;d=HN-134-75","https://v360.in/diamondview.aspx?cid=preet&amp;d=HN-134-75")</f>
        <v>https://v360.in/diamondview.aspx?cid=preet&amp;d=HN-134-75</v>
      </c>
    </row>
    <row r="401" spans="1:54" ht="16" x14ac:dyDescent="0.2">
      <c r="A401" s="4" t="s">
        <v>461</v>
      </c>
      <c r="B401" s="7" t="s">
        <v>536</v>
      </c>
      <c r="C401" s="4" t="s">
        <v>563</v>
      </c>
      <c r="D401" s="8">
        <v>1.19</v>
      </c>
      <c r="E401" s="9" t="s">
        <v>548</v>
      </c>
      <c r="F401" s="4" t="s">
        <v>552</v>
      </c>
      <c r="G401" s="4" t="s">
        <v>539</v>
      </c>
      <c r="H401" s="4" t="s">
        <v>540</v>
      </c>
      <c r="I401" s="4" t="s">
        <v>540</v>
      </c>
      <c r="J401" s="4" t="s">
        <v>541</v>
      </c>
      <c r="L401" s="4" t="s">
        <v>965</v>
      </c>
      <c r="O401" s="4" t="s">
        <v>1040</v>
      </c>
      <c r="P401" s="4">
        <v>561278585</v>
      </c>
      <c r="R401" s="4">
        <v>9400</v>
      </c>
      <c r="S401">
        <f t="shared" si="12"/>
        <v>11186</v>
      </c>
      <c r="T401" s="7">
        <v>-96</v>
      </c>
      <c r="U401">
        <f t="shared" si="13"/>
        <v>447.44</v>
      </c>
      <c r="V401" s="15">
        <v>0.70499999999999996</v>
      </c>
      <c r="W401" s="4">
        <v>70</v>
      </c>
      <c r="BB401" s="20" t="str">
        <f>HYPERLINK("https://v360.in/diamondview.aspx?cid=preet&amp;d=HN-129-91","https://v360.in/diamondview.aspx?cid=preet&amp;d=HN-129-91")</f>
        <v>https://v360.in/diamondview.aspx?cid=preet&amp;d=HN-129-91</v>
      </c>
    </row>
    <row r="402" spans="1:54" ht="16" x14ac:dyDescent="0.2">
      <c r="A402" s="4" t="s">
        <v>462</v>
      </c>
      <c r="B402" s="7" t="s">
        <v>536</v>
      </c>
      <c r="C402" s="4" t="s">
        <v>563</v>
      </c>
      <c r="D402" s="8">
        <v>1.19</v>
      </c>
      <c r="E402" s="9" t="s">
        <v>542</v>
      </c>
      <c r="F402" s="4" t="s">
        <v>549</v>
      </c>
      <c r="G402" s="4" t="s">
        <v>539</v>
      </c>
      <c r="H402" s="4" t="s">
        <v>540</v>
      </c>
      <c r="I402" s="4" t="s">
        <v>540</v>
      </c>
      <c r="J402" s="4" t="s">
        <v>541</v>
      </c>
      <c r="L402" s="4" t="s">
        <v>966</v>
      </c>
      <c r="O402" s="4" t="s">
        <v>1040</v>
      </c>
      <c r="P402" s="4">
        <v>464109432</v>
      </c>
      <c r="R402" s="4">
        <v>4700</v>
      </c>
      <c r="S402">
        <f t="shared" si="12"/>
        <v>5593</v>
      </c>
      <c r="T402" s="7">
        <v>-96</v>
      </c>
      <c r="U402">
        <f t="shared" si="13"/>
        <v>223.72</v>
      </c>
      <c r="V402" s="15">
        <v>0.65700000000000003</v>
      </c>
      <c r="W402" s="15">
        <v>0.64500000000000002</v>
      </c>
      <c r="BB402" s="20" t="str">
        <f>HYPERLINK("","")</f>
        <v/>
      </c>
    </row>
    <row r="403" spans="1:54" ht="16" x14ac:dyDescent="0.2">
      <c r="A403" s="4" t="s">
        <v>463</v>
      </c>
      <c r="B403" s="7" t="s">
        <v>536</v>
      </c>
      <c r="C403" s="4" t="s">
        <v>563</v>
      </c>
      <c r="D403" s="8">
        <v>1.17</v>
      </c>
      <c r="E403" s="9" t="s">
        <v>546</v>
      </c>
      <c r="F403" s="4" t="s">
        <v>544</v>
      </c>
      <c r="G403" s="4" t="s">
        <v>539</v>
      </c>
      <c r="H403" s="4" t="s">
        <v>540</v>
      </c>
      <c r="I403" s="4" t="s">
        <v>540</v>
      </c>
      <c r="J403" s="4" t="s">
        <v>541</v>
      </c>
      <c r="L403" s="4" t="s">
        <v>967</v>
      </c>
      <c r="O403" s="4" t="s">
        <v>1040</v>
      </c>
      <c r="P403" s="4">
        <v>567356402</v>
      </c>
      <c r="R403" s="4">
        <v>7500</v>
      </c>
      <c r="S403">
        <f t="shared" si="12"/>
        <v>8775</v>
      </c>
      <c r="T403" s="7">
        <v>-96</v>
      </c>
      <c r="U403">
        <f t="shared" si="13"/>
        <v>351</v>
      </c>
      <c r="V403" s="15">
        <v>0.63200000000000001</v>
      </c>
      <c r="W403" s="16">
        <v>0.69</v>
      </c>
      <c r="BB403" s="20" t="str">
        <f>HYPERLINK("https://v360.in/diamondview.aspx?cid=preet&amp;d=HN-136-43","https://v360.in/diamondview.aspx?cid=preet&amp;d=HN-136-43")</f>
        <v>https://v360.in/diamondview.aspx?cid=preet&amp;d=HN-136-43</v>
      </c>
    </row>
    <row r="404" spans="1:54" ht="16" x14ac:dyDescent="0.2">
      <c r="A404" s="4" t="s">
        <v>464</v>
      </c>
      <c r="B404" s="7" t="s">
        <v>536</v>
      </c>
      <c r="C404" s="4" t="s">
        <v>563</v>
      </c>
      <c r="D404" s="8">
        <v>1.17</v>
      </c>
      <c r="E404" s="9" t="s">
        <v>542</v>
      </c>
      <c r="F404" s="4" t="s">
        <v>544</v>
      </c>
      <c r="G404" s="4" t="s">
        <v>539</v>
      </c>
      <c r="H404" s="4" t="s">
        <v>540</v>
      </c>
      <c r="I404" s="4" t="s">
        <v>540</v>
      </c>
      <c r="J404" s="4" t="s">
        <v>541</v>
      </c>
      <c r="L404" s="4" t="s">
        <v>968</v>
      </c>
      <c r="O404" s="4" t="s">
        <v>1040</v>
      </c>
      <c r="P404" s="4">
        <v>520208299</v>
      </c>
      <c r="R404" s="4">
        <v>6000</v>
      </c>
      <c r="S404">
        <f t="shared" si="12"/>
        <v>7020</v>
      </c>
      <c r="T404" s="7">
        <v>-96</v>
      </c>
      <c r="U404">
        <f t="shared" si="13"/>
        <v>280.79999999999995</v>
      </c>
      <c r="V404" s="15">
        <v>0.71899999999999997</v>
      </c>
      <c r="W404" s="16">
        <v>0.69</v>
      </c>
      <c r="BB404" s="20" t="str">
        <f>HYPERLINK("https://view.gem360.in/gem360/0304230815-HN-39-122/gem360-0304230815-HN-39-122.html","https://view.gem360.in/gem360/0304230815-HN-39-122/gem360-0304230815-HN-39-122.html")</f>
        <v>https://view.gem360.in/gem360/0304230815-HN-39-122/gem360-0304230815-HN-39-122.html</v>
      </c>
    </row>
    <row r="405" spans="1:54" ht="16" x14ac:dyDescent="0.2">
      <c r="A405" s="4" t="s">
        <v>465</v>
      </c>
      <c r="B405" s="7" t="s">
        <v>536</v>
      </c>
      <c r="C405" s="4" t="s">
        <v>563</v>
      </c>
      <c r="D405" s="8">
        <v>1.1599999999999999</v>
      </c>
      <c r="E405" s="9" t="s">
        <v>536</v>
      </c>
      <c r="F405" s="4" t="s">
        <v>547</v>
      </c>
      <c r="G405" s="4" t="s">
        <v>539</v>
      </c>
      <c r="H405" s="4" t="s">
        <v>540</v>
      </c>
      <c r="I405" s="4" t="s">
        <v>540</v>
      </c>
      <c r="J405" s="4" t="s">
        <v>541</v>
      </c>
      <c r="L405" s="4" t="s">
        <v>969</v>
      </c>
      <c r="O405" s="4" t="s">
        <v>1040</v>
      </c>
      <c r="P405" s="4">
        <v>569328544</v>
      </c>
      <c r="R405" s="4">
        <v>7300</v>
      </c>
      <c r="S405">
        <f t="shared" si="12"/>
        <v>8468</v>
      </c>
      <c r="T405" s="7">
        <v>-96</v>
      </c>
      <c r="U405">
        <f t="shared" si="13"/>
        <v>338.71999999999997</v>
      </c>
      <c r="V405" s="15">
        <v>0.64800000000000002</v>
      </c>
      <c r="W405" s="15">
        <v>0.64500000000000002</v>
      </c>
      <c r="BB405" s="20" t="str">
        <f>HYPERLINK("https://v360.in/diamondview.aspx?cid=preet&amp;d=HN-137-11","https://v360.in/diamondview.aspx?cid=preet&amp;d=HN-137-11")</f>
        <v>https://v360.in/diamondview.aspx?cid=preet&amp;d=HN-137-11</v>
      </c>
    </row>
    <row r="406" spans="1:54" ht="16" x14ac:dyDescent="0.2">
      <c r="A406" s="4" t="s">
        <v>466</v>
      </c>
      <c r="B406" s="7" t="s">
        <v>536</v>
      </c>
      <c r="C406" s="4" t="s">
        <v>563</v>
      </c>
      <c r="D406" s="8">
        <v>1.1499999999999999</v>
      </c>
      <c r="E406" s="9" t="s">
        <v>536</v>
      </c>
      <c r="F406" s="4" t="s">
        <v>538</v>
      </c>
      <c r="G406" s="4" t="s">
        <v>539</v>
      </c>
      <c r="H406" s="4" t="s">
        <v>540</v>
      </c>
      <c r="I406" s="4" t="s">
        <v>540</v>
      </c>
      <c r="J406" s="4" t="s">
        <v>541</v>
      </c>
      <c r="L406" s="4" t="s">
        <v>970</v>
      </c>
      <c r="O406" s="4" t="s">
        <v>1040</v>
      </c>
      <c r="P406" s="4">
        <v>528205274</v>
      </c>
      <c r="R406" s="4">
        <v>6600</v>
      </c>
      <c r="S406">
        <f t="shared" si="12"/>
        <v>7589.9999999999991</v>
      </c>
      <c r="T406" s="7">
        <v>-96</v>
      </c>
      <c r="U406">
        <f t="shared" si="13"/>
        <v>303.59999999999997</v>
      </c>
      <c r="V406" s="15">
        <v>0.628</v>
      </c>
      <c r="W406" s="15">
        <v>0.68500000000000005</v>
      </c>
      <c r="BB406" s="20" t="str">
        <f>HYPERLINK("","")</f>
        <v/>
      </c>
    </row>
    <row r="407" spans="1:54" ht="16" x14ac:dyDescent="0.2">
      <c r="A407" s="4" t="s">
        <v>467</v>
      </c>
      <c r="B407" s="7" t="s">
        <v>536</v>
      </c>
      <c r="C407" s="4" t="s">
        <v>563</v>
      </c>
      <c r="D407" s="8">
        <v>1.1499999999999999</v>
      </c>
      <c r="E407" s="9" t="s">
        <v>536</v>
      </c>
      <c r="F407" s="4" t="s">
        <v>544</v>
      </c>
      <c r="G407" s="4" t="s">
        <v>539</v>
      </c>
      <c r="H407" s="4" t="s">
        <v>540</v>
      </c>
      <c r="I407" s="4" t="s">
        <v>540</v>
      </c>
      <c r="J407" s="4" t="s">
        <v>541</v>
      </c>
      <c r="L407" s="4" t="s">
        <v>971</v>
      </c>
      <c r="O407" s="4" t="s">
        <v>1040</v>
      </c>
      <c r="P407" s="4">
        <v>570370834</v>
      </c>
      <c r="R407" s="4">
        <v>7000</v>
      </c>
      <c r="S407">
        <f t="shared" si="12"/>
        <v>8049.9999999999991</v>
      </c>
      <c r="T407" s="7">
        <v>-96</v>
      </c>
      <c r="U407">
        <f t="shared" si="13"/>
        <v>322</v>
      </c>
      <c r="V407" s="15">
        <v>0.68700000000000006</v>
      </c>
      <c r="W407" s="16">
        <v>0.64</v>
      </c>
      <c r="BB407" s="20" t="str">
        <f>HYPERLINK("https://v360.in/diamondview.aspx?cid=preet&amp;d=HN-147-11","https://v360.in/diamondview.aspx?cid=preet&amp;d=HN-147-11")</f>
        <v>https://v360.in/diamondview.aspx?cid=preet&amp;d=HN-147-11</v>
      </c>
    </row>
    <row r="408" spans="1:54" ht="16" x14ac:dyDescent="0.2">
      <c r="A408" s="4" t="s">
        <v>468</v>
      </c>
      <c r="B408" s="7" t="s">
        <v>536</v>
      </c>
      <c r="C408" s="4" t="s">
        <v>563</v>
      </c>
      <c r="D408" s="8">
        <v>1.1299999999999999</v>
      </c>
      <c r="E408" s="9" t="s">
        <v>546</v>
      </c>
      <c r="F408" s="4" t="s">
        <v>544</v>
      </c>
      <c r="G408" s="4" t="s">
        <v>539</v>
      </c>
      <c r="H408" s="4" t="s">
        <v>540</v>
      </c>
      <c r="I408" s="4" t="s">
        <v>540</v>
      </c>
      <c r="J408" s="4" t="s">
        <v>541</v>
      </c>
      <c r="L408" s="4" t="s">
        <v>972</v>
      </c>
      <c r="O408" s="4" t="s">
        <v>1040</v>
      </c>
      <c r="P408" s="4">
        <v>563201918</v>
      </c>
      <c r="R408" s="4">
        <v>7500</v>
      </c>
      <c r="S408">
        <f t="shared" si="12"/>
        <v>8475</v>
      </c>
      <c r="T408" s="7">
        <v>-96</v>
      </c>
      <c r="U408">
        <f t="shared" si="13"/>
        <v>338.99999999999994</v>
      </c>
      <c r="V408" s="15">
        <v>0.64100000000000001</v>
      </c>
      <c r="W408" s="15">
        <v>0.67500000000000004</v>
      </c>
      <c r="BB408" s="20" t="str">
        <f>HYPERLINK("https://v360.in/diamondview.aspx?cid=preet&amp;d=HN-134-24","https://v360.in/diamondview.aspx?cid=preet&amp;d=HN-134-24")</f>
        <v>https://v360.in/diamondview.aspx?cid=preet&amp;d=HN-134-24</v>
      </c>
    </row>
    <row r="409" spans="1:54" ht="16" x14ac:dyDescent="0.2">
      <c r="A409" s="4" t="s">
        <v>469</v>
      </c>
      <c r="B409" s="7" t="s">
        <v>536</v>
      </c>
      <c r="C409" s="4" t="s">
        <v>563</v>
      </c>
      <c r="D409" s="8">
        <v>1.1299999999999999</v>
      </c>
      <c r="E409" s="9" t="s">
        <v>546</v>
      </c>
      <c r="F409" s="4" t="s">
        <v>544</v>
      </c>
      <c r="G409" s="4" t="s">
        <v>539</v>
      </c>
      <c r="H409" s="4" t="s">
        <v>540</v>
      </c>
      <c r="I409" s="4" t="s">
        <v>540</v>
      </c>
      <c r="J409" s="4" t="s">
        <v>541</v>
      </c>
      <c r="L409" s="4" t="s">
        <v>973</v>
      </c>
      <c r="O409" s="4" t="s">
        <v>1040</v>
      </c>
      <c r="P409" s="4">
        <v>551291810</v>
      </c>
      <c r="R409" s="4">
        <v>7500</v>
      </c>
      <c r="S409">
        <f t="shared" si="12"/>
        <v>8475</v>
      </c>
      <c r="T409" s="7">
        <v>-96</v>
      </c>
      <c r="U409">
        <f t="shared" si="13"/>
        <v>338.99999999999994</v>
      </c>
      <c r="V409" s="15">
        <v>0.64700000000000002</v>
      </c>
      <c r="W409" s="15">
        <v>0.68500000000000005</v>
      </c>
      <c r="BB409" s="20" t="str">
        <f>HYPERLINK("https://v360.in/diamondview.aspx?cid=preet&amp;d=HN-105-14","https://v360.in/diamondview.aspx?cid=preet&amp;d=HN-105-14")</f>
        <v>https://v360.in/diamondview.aspx?cid=preet&amp;d=HN-105-14</v>
      </c>
    </row>
    <row r="410" spans="1:54" ht="16" x14ac:dyDescent="0.2">
      <c r="A410" s="4" t="s">
        <v>470</v>
      </c>
      <c r="B410" s="7" t="s">
        <v>536</v>
      </c>
      <c r="C410" s="4" t="s">
        <v>563</v>
      </c>
      <c r="D410" s="8">
        <v>1.1200000000000001</v>
      </c>
      <c r="E410" s="9" t="s">
        <v>548</v>
      </c>
      <c r="F410" s="4" t="s">
        <v>544</v>
      </c>
      <c r="G410" s="4" t="s">
        <v>539</v>
      </c>
      <c r="H410" s="4" t="s">
        <v>540</v>
      </c>
      <c r="I410" s="4" t="s">
        <v>540</v>
      </c>
      <c r="J410" s="4" t="s">
        <v>541</v>
      </c>
      <c r="L410" s="4" t="s">
        <v>974</v>
      </c>
      <c r="O410" s="4" t="s">
        <v>1040</v>
      </c>
      <c r="P410" s="4">
        <v>571301008</v>
      </c>
      <c r="R410" s="4">
        <v>8000</v>
      </c>
      <c r="S410">
        <f t="shared" si="12"/>
        <v>8960</v>
      </c>
      <c r="T410" s="7">
        <v>-96</v>
      </c>
      <c r="U410">
        <f t="shared" si="13"/>
        <v>358.40000000000003</v>
      </c>
      <c r="V410" s="15">
        <v>0.68400000000000005</v>
      </c>
      <c r="W410" s="15">
        <v>0.65500000000000003</v>
      </c>
      <c r="BB410" s="20" t="str">
        <f>HYPERLINK("https://v360.in/diamondview.aspx?cid=preet&amp;d=HN-141-15","https://v360.in/diamondview.aspx?cid=preet&amp;d=HN-141-15")</f>
        <v>https://v360.in/diamondview.aspx?cid=preet&amp;d=HN-141-15</v>
      </c>
    </row>
    <row r="411" spans="1:54" ht="16" x14ac:dyDescent="0.2">
      <c r="A411" s="4" t="s">
        <v>471</v>
      </c>
      <c r="B411" s="7" t="s">
        <v>536</v>
      </c>
      <c r="C411" s="4" t="s">
        <v>563</v>
      </c>
      <c r="D411" s="8">
        <v>1.1200000000000001</v>
      </c>
      <c r="E411" s="9" t="s">
        <v>536</v>
      </c>
      <c r="F411" s="4" t="s">
        <v>538</v>
      </c>
      <c r="G411" s="4" t="s">
        <v>539</v>
      </c>
      <c r="H411" s="4" t="s">
        <v>540</v>
      </c>
      <c r="I411" s="4" t="s">
        <v>540</v>
      </c>
      <c r="J411" s="4" t="s">
        <v>541</v>
      </c>
      <c r="L411" s="4" t="s">
        <v>975</v>
      </c>
      <c r="O411" s="4" t="s">
        <v>1040</v>
      </c>
      <c r="P411" s="4">
        <v>524248720</v>
      </c>
      <c r="R411" s="4">
        <v>6600</v>
      </c>
      <c r="S411">
        <f t="shared" si="12"/>
        <v>7392.0000000000009</v>
      </c>
      <c r="T411" s="7">
        <v>-96</v>
      </c>
      <c r="U411">
        <f t="shared" si="13"/>
        <v>295.68</v>
      </c>
      <c r="V411" s="15">
        <v>0.67400000000000004</v>
      </c>
      <c r="W411" s="15">
        <v>0.745</v>
      </c>
      <c r="BB411" s="20" t="str">
        <f>HYPERLINK("https://view.gem360.in/gem360/1105221107-HN43-180/gem360-1105221107-HN43-180.html","https://view.gem360.in/gem360/1105221107-HN43-180/gem360-1105221107-HN43-180.html")</f>
        <v>https://view.gem360.in/gem360/1105221107-HN43-180/gem360-1105221107-HN43-180.html</v>
      </c>
    </row>
    <row r="412" spans="1:54" ht="16" x14ac:dyDescent="0.2">
      <c r="A412" s="4" t="s">
        <v>472</v>
      </c>
      <c r="B412" s="7" t="s">
        <v>536</v>
      </c>
      <c r="C412" s="4" t="s">
        <v>563</v>
      </c>
      <c r="D412" s="8">
        <v>1.1200000000000001</v>
      </c>
      <c r="E412" s="9" t="s">
        <v>542</v>
      </c>
      <c r="F412" s="4" t="s">
        <v>544</v>
      </c>
      <c r="G412" s="4" t="s">
        <v>539</v>
      </c>
      <c r="H412" s="4" t="s">
        <v>540</v>
      </c>
      <c r="I412" s="4" t="s">
        <v>540</v>
      </c>
      <c r="J412" s="4" t="s">
        <v>541</v>
      </c>
      <c r="L412" s="4" t="s">
        <v>976</v>
      </c>
      <c r="O412" s="4" t="s">
        <v>1040</v>
      </c>
      <c r="P412" s="4">
        <v>570376203</v>
      </c>
      <c r="R412" s="4">
        <v>6000</v>
      </c>
      <c r="S412">
        <f t="shared" si="12"/>
        <v>6720.0000000000009</v>
      </c>
      <c r="T412" s="7">
        <v>-96</v>
      </c>
      <c r="U412">
        <f t="shared" si="13"/>
        <v>268.8</v>
      </c>
      <c r="V412" s="16">
        <v>0.63</v>
      </c>
      <c r="W412" s="16">
        <v>0.64</v>
      </c>
      <c r="BB412" s="20" t="str">
        <f>HYPERLINK("https://v360.in/diamondview.aspx?cid=preet&amp;d=HN-148-11","https://v360.in/diamondview.aspx?cid=preet&amp;d=HN-148-11")</f>
        <v>https://v360.in/diamondview.aspx?cid=preet&amp;d=HN-148-11</v>
      </c>
    </row>
    <row r="413" spans="1:54" ht="16" x14ac:dyDescent="0.2">
      <c r="A413" s="4" t="s">
        <v>473</v>
      </c>
      <c r="B413" s="7" t="s">
        <v>536</v>
      </c>
      <c r="C413" s="4" t="s">
        <v>563</v>
      </c>
      <c r="D413" s="8">
        <v>1.1100000000000001</v>
      </c>
      <c r="E413" s="9" t="s">
        <v>546</v>
      </c>
      <c r="F413" s="4" t="s">
        <v>544</v>
      </c>
      <c r="G413" s="4" t="s">
        <v>539</v>
      </c>
      <c r="H413" s="4" t="s">
        <v>540</v>
      </c>
      <c r="I413" s="4" t="s">
        <v>540</v>
      </c>
      <c r="J413" s="4" t="s">
        <v>541</v>
      </c>
      <c r="L413" s="4" t="s">
        <v>977</v>
      </c>
      <c r="O413" s="4" t="s">
        <v>1040</v>
      </c>
      <c r="P413" s="4">
        <v>570370817</v>
      </c>
      <c r="R413" s="4">
        <v>7500</v>
      </c>
      <c r="S413">
        <f t="shared" si="12"/>
        <v>8325</v>
      </c>
      <c r="T413" s="7">
        <v>-96</v>
      </c>
      <c r="U413">
        <f t="shared" si="13"/>
        <v>333.00000000000006</v>
      </c>
      <c r="V413" s="15">
        <v>0.65500000000000003</v>
      </c>
      <c r="W413" s="16">
        <v>0.68</v>
      </c>
      <c r="BB413" s="20" t="str">
        <f>HYPERLINK("https://v360.in/diamondview.aspx?cid=preet&amp;d=HN-149-2","https://v360.in/diamondview.aspx?cid=preet&amp;d=HN-149-2")</f>
        <v>https://v360.in/diamondview.aspx?cid=preet&amp;d=HN-149-2</v>
      </c>
    </row>
    <row r="414" spans="1:54" ht="16" x14ac:dyDescent="0.2">
      <c r="A414" s="4" t="s">
        <v>474</v>
      </c>
      <c r="B414" s="7" t="s">
        <v>536</v>
      </c>
      <c r="C414" s="4" t="s">
        <v>563</v>
      </c>
      <c r="D414" s="8">
        <v>1.1100000000000001</v>
      </c>
      <c r="E414" s="9" t="s">
        <v>536</v>
      </c>
      <c r="F414" s="4" t="s">
        <v>544</v>
      </c>
      <c r="G414" s="4" t="s">
        <v>539</v>
      </c>
      <c r="H414" s="4" t="s">
        <v>540</v>
      </c>
      <c r="I414" s="4" t="s">
        <v>540</v>
      </c>
      <c r="J414" s="4" t="s">
        <v>541</v>
      </c>
      <c r="L414" s="4" t="s">
        <v>978</v>
      </c>
      <c r="O414" s="4" t="s">
        <v>1040</v>
      </c>
      <c r="P414" s="4">
        <v>571307669</v>
      </c>
      <c r="R414" s="4">
        <v>7000</v>
      </c>
      <c r="S414">
        <f t="shared" si="12"/>
        <v>7770.0000000000009</v>
      </c>
      <c r="T414" s="7">
        <v>-96</v>
      </c>
      <c r="U414">
        <f t="shared" si="13"/>
        <v>310.8</v>
      </c>
      <c r="V414" s="15">
        <v>0.67200000000000004</v>
      </c>
      <c r="W414" s="16">
        <v>0.64</v>
      </c>
      <c r="BB414" s="20" t="str">
        <f>HYPERLINK("https://v360.in/diamondview.aspx?cid=preet&amp;d=HN-150-16","https://v360.in/diamondview.aspx?cid=preet&amp;d=HN-150-16")</f>
        <v>https://v360.in/diamondview.aspx?cid=preet&amp;d=HN-150-16</v>
      </c>
    </row>
    <row r="415" spans="1:54" ht="16" x14ac:dyDescent="0.2">
      <c r="A415" s="4" t="s">
        <v>475</v>
      </c>
      <c r="B415" s="7" t="s">
        <v>536</v>
      </c>
      <c r="C415" s="4" t="s">
        <v>563</v>
      </c>
      <c r="D415" s="8">
        <v>1.1000000000000001</v>
      </c>
      <c r="E415" s="9" t="s">
        <v>546</v>
      </c>
      <c r="F415" s="4" t="s">
        <v>544</v>
      </c>
      <c r="G415" s="4" t="s">
        <v>539</v>
      </c>
      <c r="H415" s="4" t="s">
        <v>540</v>
      </c>
      <c r="I415" s="4" t="s">
        <v>540</v>
      </c>
      <c r="J415" s="4" t="s">
        <v>541</v>
      </c>
      <c r="L415" s="4" t="s">
        <v>979</v>
      </c>
      <c r="O415" s="4" t="s">
        <v>1040</v>
      </c>
      <c r="P415" s="4">
        <v>571301007</v>
      </c>
      <c r="R415" s="4">
        <v>7500</v>
      </c>
      <c r="S415">
        <f t="shared" si="12"/>
        <v>8250</v>
      </c>
      <c r="T415" s="7">
        <v>-96</v>
      </c>
      <c r="U415">
        <f t="shared" si="13"/>
        <v>330</v>
      </c>
      <c r="V415" s="15">
        <v>0.69599999999999995</v>
      </c>
      <c r="W415" s="15">
        <v>0.64500000000000002</v>
      </c>
      <c r="BB415" s="20" t="str">
        <f>HYPERLINK("https://v360.in/diamondview.aspx?cid=preet&amp;d=HN-141-13","https://v360.in/diamondview.aspx?cid=preet&amp;d=HN-141-13")</f>
        <v>https://v360.in/diamondview.aspx?cid=preet&amp;d=HN-141-13</v>
      </c>
    </row>
    <row r="416" spans="1:54" ht="16" x14ac:dyDescent="0.2">
      <c r="A416" s="4" t="s">
        <v>476</v>
      </c>
      <c r="B416" s="7" t="s">
        <v>536</v>
      </c>
      <c r="C416" s="4" t="s">
        <v>563</v>
      </c>
      <c r="D416" s="8">
        <v>1.1000000000000001</v>
      </c>
      <c r="E416" s="9" t="s">
        <v>542</v>
      </c>
      <c r="F416" s="4" t="s">
        <v>549</v>
      </c>
      <c r="G416" s="4" t="s">
        <v>539</v>
      </c>
      <c r="H416" s="4" t="s">
        <v>540</v>
      </c>
      <c r="I416" s="4" t="s">
        <v>540</v>
      </c>
      <c r="J416" s="4" t="s">
        <v>541</v>
      </c>
      <c r="L416" s="4" t="s">
        <v>980</v>
      </c>
      <c r="O416" s="4" t="s">
        <v>1040</v>
      </c>
      <c r="P416" s="4">
        <v>523298153</v>
      </c>
      <c r="R416" s="4">
        <v>4700</v>
      </c>
      <c r="S416">
        <f t="shared" si="12"/>
        <v>5170</v>
      </c>
      <c r="T416" s="7">
        <v>-96</v>
      </c>
      <c r="U416">
        <f t="shared" si="13"/>
        <v>206.8</v>
      </c>
      <c r="V416" s="15">
        <v>0.60699999999999998</v>
      </c>
      <c r="W416" s="16">
        <v>0.69</v>
      </c>
      <c r="BB416" s="20" t="str">
        <f>HYPERLINK("https://view.gem360.in/gem360/2504220549-HN40-105/gem360-2504220549-HN40-105.html","https://view.gem360.in/gem360/2504220549-HN40-105/gem360-2504220549-HN40-105.html")</f>
        <v>https://view.gem360.in/gem360/2504220549-HN40-105/gem360-2504220549-HN40-105.html</v>
      </c>
    </row>
    <row r="417" spans="1:54" ht="16" x14ac:dyDescent="0.2">
      <c r="A417" s="4" t="s">
        <v>477</v>
      </c>
      <c r="B417" s="7" t="s">
        <v>536</v>
      </c>
      <c r="C417" s="4" t="s">
        <v>563</v>
      </c>
      <c r="D417" s="8">
        <v>1.0900000000000001</v>
      </c>
      <c r="E417" s="9" t="s">
        <v>548</v>
      </c>
      <c r="F417" s="4" t="s">
        <v>544</v>
      </c>
      <c r="G417" s="4" t="s">
        <v>539</v>
      </c>
      <c r="H417" s="4" t="s">
        <v>540</v>
      </c>
      <c r="I417" s="4" t="s">
        <v>540</v>
      </c>
      <c r="J417" s="4" t="s">
        <v>541</v>
      </c>
      <c r="L417" s="4" t="s">
        <v>981</v>
      </c>
      <c r="O417" s="4" t="s">
        <v>1040</v>
      </c>
      <c r="P417" s="4">
        <v>561259420</v>
      </c>
      <c r="R417" s="4">
        <v>8000</v>
      </c>
      <c r="S417">
        <f t="shared" si="12"/>
        <v>8720</v>
      </c>
      <c r="T417" s="7">
        <v>-96</v>
      </c>
      <c r="U417">
        <f t="shared" si="13"/>
        <v>348.8</v>
      </c>
      <c r="V417" s="15">
        <v>0.71799999999999997</v>
      </c>
      <c r="W417" s="4">
        <v>72</v>
      </c>
      <c r="BB417" s="20" t="str">
        <f>HYPERLINK("https://v360.in/diamondview.aspx?cid=preet&amp;d=HN-129-18","https://v360.in/diamondview.aspx?cid=preet&amp;d=HN-129-18")</f>
        <v>https://v360.in/diamondview.aspx?cid=preet&amp;d=HN-129-18</v>
      </c>
    </row>
    <row r="418" spans="1:54" ht="16" x14ac:dyDescent="0.2">
      <c r="A418" s="4" t="s">
        <v>478</v>
      </c>
      <c r="B418" s="7" t="s">
        <v>536</v>
      </c>
      <c r="C418" s="4" t="s">
        <v>563</v>
      </c>
      <c r="D418" s="8">
        <v>1.0900000000000001</v>
      </c>
      <c r="E418" s="9" t="s">
        <v>536</v>
      </c>
      <c r="F418" s="4" t="s">
        <v>538</v>
      </c>
      <c r="G418" s="4" t="s">
        <v>539</v>
      </c>
      <c r="H418" s="4" t="s">
        <v>540</v>
      </c>
      <c r="I418" s="4" t="s">
        <v>540</v>
      </c>
      <c r="J418" s="4" t="s">
        <v>541</v>
      </c>
      <c r="L418" s="4" t="s">
        <v>982</v>
      </c>
      <c r="O418" s="4" t="s">
        <v>1040</v>
      </c>
      <c r="P418" s="4">
        <v>570370822</v>
      </c>
      <c r="R418" s="4">
        <v>6600</v>
      </c>
      <c r="S418">
        <f t="shared" si="12"/>
        <v>7194.0000000000009</v>
      </c>
      <c r="T418" s="7">
        <v>-96</v>
      </c>
      <c r="U418">
        <f t="shared" si="13"/>
        <v>287.76000000000005</v>
      </c>
      <c r="V418" s="16">
        <v>0.64</v>
      </c>
      <c r="W418" s="15">
        <v>0.67500000000000004</v>
      </c>
      <c r="BB418" s="20" t="str">
        <f>HYPERLINK("https://v360.in/diamondview.aspx?cid=preet&amp;d=HN-147-9","https://v360.in/diamondview.aspx?cid=preet&amp;d=HN-147-9")</f>
        <v>https://v360.in/diamondview.aspx?cid=preet&amp;d=HN-147-9</v>
      </c>
    </row>
    <row r="419" spans="1:54" ht="16" x14ac:dyDescent="0.2">
      <c r="A419" s="4" t="s">
        <v>479</v>
      </c>
      <c r="B419" s="7" t="s">
        <v>536</v>
      </c>
      <c r="C419" s="4" t="s">
        <v>563</v>
      </c>
      <c r="D419" s="8">
        <v>1.08</v>
      </c>
      <c r="E419" s="9" t="s">
        <v>536</v>
      </c>
      <c r="F419" s="4" t="s">
        <v>544</v>
      </c>
      <c r="G419" s="4" t="s">
        <v>539</v>
      </c>
      <c r="H419" s="4" t="s">
        <v>540</v>
      </c>
      <c r="I419" s="4" t="s">
        <v>540</v>
      </c>
      <c r="J419" s="4" t="s">
        <v>541</v>
      </c>
      <c r="L419" s="4" t="s">
        <v>983</v>
      </c>
      <c r="O419" s="4" t="s">
        <v>1040</v>
      </c>
      <c r="P419" s="4">
        <v>575396027</v>
      </c>
      <c r="R419" s="4">
        <v>7000</v>
      </c>
      <c r="S419">
        <f t="shared" si="12"/>
        <v>7560.0000000000009</v>
      </c>
      <c r="T419" s="7">
        <v>-96</v>
      </c>
      <c r="U419">
        <f t="shared" si="13"/>
        <v>302.40000000000003</v>
      </c>
      <c r="V419" s="15">
        <v>0.61399999999999999</v>
      </c>
      <c r="W419" s="15">
        <v>0.71499999999999997</v>
      </c>
      <c r="BB419" s="20" t="str">
        <f>HYPERLINK("https://view.gem360.in/gem360/1704230654-HN-159-14/gem360-1704230654-HN-159-14.html","https://view.gem360.in/gem360/1704230654-HN-159-14/gem360-1704230654-HN-159-14.html")</f>
        <v>https://view.gem360.in/gem360/1704230654-HN-159-14/gem360-1704230654-HN-159-14.html</v>
      </c>
    </row>
    <row r="420" spans="1:54" ht="16" x14ac:dyDescent="0.2">
      <c r="A420" s="4" t="s">
        <v>480</v>
      </c>
      <c r="B420" s="7" t="s">
        <v>536</v>
      </c>
      <c r="C420" s="4" t="s">
        <v>563</v>
      </c>
      <c r="D420" s="8">
        <v>1.07</v>
      </c>
      <c r="E420" s="9" t="s">
        <v>546</v>
      </c>
      <c r="F420" s="4" t="s">
        <v>547</v>
      </c>
      <c r="G420" s="4" t="s">
        <v>539</v>
      </c>
      <c r="H420" s="4" t="s">
        <v>540</v>
      </c>
      <c r="I420" s="4" t="s">
        <v>540</v>
      </c>
      <c r="J420" s="4" t="s">
        <v>541</v>
      </c>
      <c r="L420" s="4" t="s">
        <v>984</v>
      </c>
      <c r="O420" s="4" t="s">
        <v>1040</v>
      </c>
      <c r="P420" s="4">
        <v>569328545</v>
      </c>
      <c r="R420" s="4">
        <v>8000</v>
      </c>
      <c r="S420">
        <f t="shared" si="12"/>
        <v>8560</v>
      </c>
      <c r="T420" s="7">
        <v>-96</v>
      </c>
      <c r="U420">
        <f t="shared" si="13"/>
        <v>342.40000000000003</v>
      </c>
      <c r="V420" s="15">
        <v>0.66200000000000003</v>
      </c>
      <c r="W420" s="15">
        <v>0.61499999999999999</v>
      </c>
      <c r="BB420" s="20" t="str">
        <f>HYPERLINK("https://v360.in/diamondview.aspx?cid=preet&amp;d=HN-137-13","https://v360.in/diamondview.aspx?cid=preet&amp;d=HN-137-13")</f>
        <v>https://v360.in/diamondview.aspx?cid=preet&amp;d=HN-137-13</v>
      </c>
    </row>
    <row r="421" spans="1:54" ht="16" x14ac:dyDescent="0.2">
      <c r="A421" s="4" t="s">
        <v>481</v>
      </c>
      <c r="B421" s="7" t="s">
        <v>536</v>
      </c>
      <c r="C421" s="4" t="s">
        <v>563</v>
      </c>
      <c r="D421" s="8">
        <v>1.05</v>
      </c>
      <c r="E421" s="9" t="s">
        <v>542</v>
      </c>
      <c r="F421" s="4" t="s">
        <v>549</v>
      </c>
      <c r="G421" s="4" t="s">
        <v>539</v>
      </c>
      <c r="H421" s="4" t="s">
        <v>540</v>
      </c>
      <c r="I421" s="4" t="s">
        <v>540</v>
      </c>
      <c r="J421" s="4" t="s">
        <v>541</v>
      </c>
      <c r="L421" s="4" t="s">
        <v>985</v>
      </c>
      <c r="O421" s="4" t="s">
        <v>1040</v>
      </c>
      <c r="P421" s="4">
        <v>522254623</v>
      </c>
      <c r="R421" s="4">
        <v>4700</v>
      </c>
      <c r="S421">
        <f t="shared" si="12"/>
        <v>4935</v>
      </c>
      <c r="T421" s="7">
        <v>-96</v>
      </c>
      <c r="U421">
        <f t="shared" si="13"/>
        <v>197.4</v>
      </c>
      <c r="V421" s="15">
        <v>0.68600000000000005</v>
      </c>
      <c r="W421" s="16">
        <v>0.68</v>
      </c>
      <c r="BB421" s="20" t="str">
        <f>HYPERLINK("","")</f>
        <v/>
      </c>
    </row>
    <row r="422" spans="1:54" ht="16" x14ac:dyDescent="0.2">
      <c r="A422" s="4" t="s">
        <v>482</v>
      </c>
      <c r="B422" s="7" t="s">
        <v>536</v>
      </c>
      <c r="C422" s="4" t="s">
        <v>563</v>
      </c>
      <c r="D422" s="8">
        <v>1.04</v>
      </c>
      <c r="E422" s="9" t="s">
        <v>536</v>
      </c>
      <c r="F422" s="4" t="s">
        <v>547</v>
      </c>
      <c r="G422" s="4" t="s">
        <v>539</v>
      </c>
      <c r="H422" s="4" t="s">
        <v>540</v>
      </c>
      <c r="I422" s="4" t="s">
        <v>540</v>
      </c>
      <c r="J422" s="4" t="s">
        <v>541</v>
      </c>
      <c r="L422" s="4" t="s">
        <v>986</v>
      </c>
      <c r="O422" s="4" t="s">
        <v>1040</v>
      </c>
      <c r="P422" s="4">
        <v>520291581</v>
      </c>
      <c r="R422" s="4">
        <v>7300</v>
      </c>
      <c r="S422">
        <f t="shared" si="12"/>
        <v>7592</v>
      </c>
      <c r="T422" s="7">
        <v>-96</v>
      </c>
      <c r="U422">
        <f t="shared" si="13"/>
        <v>303.68</v>
      </c>
      <c r="V422" s="15">
        <v>0.627</v>
      </c>
      <c r="W422" s="16">
        <v>0.65</v>
      </c>
      <c r="BB422" s="20" t="str">
        <f>HYPERLINK("https://view.gem360.in/gem360/0304230823-HN-37-60/gem360-0304230823-HN-37-60.html","https://view.gem360.in/gem360/0304230823-HN-37-60/gem360-0304230823-HN-37-60.html")</f>
        <v>https://view.gem360.in/gem360/0304230823-HN-37-60/gem360-0304230823-HN-37-60.html</v>
      </c>
    </row>
    <row r="423" spans="1:54" ht="16" x14ac:dyDescent="0.2">
      <c r="A423" s="4" t="s">
        <v>483</v>
      </c>
      <c r="B423" s="7" t="s">
        <v>536</v>
      </c>
      <c r="C423" s="4" t="s">
        <v>563</v>
      </c>
      <c r="D423" s="8">
        <v>1.04</v>
      </c>
      <c r="E423" s="9" t="s">
        <v>536</v>
      </c>
      <c r="F423" s="4" t="s">
        <v>547</v>
      </c>
      <c r="G423" s="4" t="s">
        <v>539</v>
      </c>
      <c r="H423" s="4" t="s">
        <v>540</v>
      </c>
      <c r="I423" s="4" t="s">
        <v>540</v>
      </c>
      <c r="J423" s="4" t="s">
        <v>541</v>
      </c>
      <c r="L423" s="4" t="s">
        <v>987</v>
      </c>
      <c r="O423" s="4" t="s">
        <v>1040</v>
      </c>
      <c r="P423" s="4">
        <v>569328541</v>
      </c>
      <c r="R423" s="4">
        <v>7300</v>
      </c>
      <c r="S423">
        <f t="shared" si="12"/>
        <v>7592</v>
      </c>
      <c r="T423" s="7">
        <v>-96</v>
      </c>
      <c r="U423">
        <f t="shared" si="13"/>
        <v>303.68</v>
      </c>
      <c r="V423" s="15">
        <v>0.69499999999999995</v>
      </c>
      <c r="W423" s="16">
        <v>0.68</v>
      </c>
      <c r="BB423" s="20" t="str">
        <f>HYPERLINK("https://v360.in/diamondview.aspx?cid=preet&amp;d=HN-137-8","https://v360.in/diamondview.aspx?cid=preet&amp;d=HN-137-8")</f>
        <v>https://v360.in/diamondview.aspx?cid=preet&amp;d=HN-137-8</v>
      </c>
    </row>
    <row r="424" spans="1:54" ht="16" x14ac:dyDescent="0.2">
      <c r="A424" s="4" t="s">
        <v>484</v>
      </c>
      <c r="B424" s="7" t="s">
        <v>536</v>
      </c>
      <c r="C424" s="4" t="s">
        <v>563</v>
      </c>
      <c r="D424" s="8">
        <v>1.04</v>
      </c>
      <c r="E424" s="9" t="s">
        <v>536</v>
      </c>
      <c r="F424" s="4" t="s">
        <v>544</v>
      </c>
      <c r="G424" s="4" t="s">
        <v>539</v>
      </c>
      <c r="H424" s="4" t="s">
        <v>540</v>
      </c>
      <c r="I424" s="4" t="s">
        <v>540</v>
      </c>
      <c r="J424" s="4" t="s">
        <v>541</v>
      </c>
      <c r="L424" s="4" t="s">
        <v>988</v>
      </c>
      <c r="O424" s="4" t="s">
        <v>1040</v>
      </c>
      <c r="P424" s="4">
        <v>571307667</v>
      </c>
      <c r="R424" s="4">
        <v>7000</v>
      </c>
      <c r="S424">
        <f t="shared" si="12"/>
        <v>7280</v>
      </c>
      <c r="T424" s="7">
        <v>-96</v>
      </c>
      <c r="U424">
        <f t="shared" si="13"/>
        <v>291.2</v>
      </c>
      <c r="V424" s="16">
        <v>0.66</v>
      </c>
      <c r="W424" s="15">
        <v>0.73499999999999999</v>
      </c>
      <c r="BB424" s="20" t="str">
        <f>HYPERLINK("https://v360.in/diamondview.aspx?cid=preet&amp;d=HN-150-13","https://v360.in/diamondview.aspx?cid=preet&amp;d=HN-150-13")</f>
        <v>https://v360.in/diamondview.aspx?cid=preet&amp;d=HN-150-13</v>
      </c>
    </row>
    <row r="425" spans="1:54" ht="16" x14ac:dyDescent="0.2">
      <c r="A425" s="4" t="s">
        <v>485</v>
      </c>
      <c r="B425" s="7" t="s">
        <v>536</v>
      </c>
      <c r="C425" s="4" t="s">
        <v>563</v>
      </c>
      <c r="D425" s="8">
        <v>1.03</v>
      </c>
      <c r="E425" s="9" t="s">
        <v>546</v>
      </c>
      <c r="F425" s="4" t="s">
        <v>538</v>
      </c>
      <c r="G425" s="4" t="s">
        <v>539</v>
      </c>
      <c r="H425" s="4" t="s">
        <v>540</v>
      </c>
      <c r="I425" s="4" t="s">
        <v>540</v>
      </c>
      <c r="J425" s="4" t="s">
        <v>541</v>
      </c>
      <c r="L425" s="4" t="s">
        <v>989</v>
      </c>
      <c r="O425" s="4" t="s">
        <v>1040</v>
      </c>
      <c r="P425" s="4">
        <v>551214605</v>
      </c>
      <c r="R425" s="4">
        <v>6900</v>
      </c>
      <c r="S425">
        <f t="shared" si="12"/>
        <v>7107</v>
      </c>
      <c r="T425" s="7">
        <v>-96</v>
      </c>
      <c r="U425">
        <f t="shared" si="13"/>
        <v>284.28000000000003</v>
      </c>
      <c r="V425" s="15">
        <v>0.68400000000000005</v>
      </c>
      <c r="W425" s="15">
        <v>0.65500000000000003</v>
      </c>
      <c r="BB425" s="20" t="str">
        <f>HYPERLINK("https://v360.in/diamondview.aspx?cid=preet&amp;d=HN-127-23","https://v360.in/diamondview.aspx?cid=preet&amp;d=HN-127-23")</f>
        <v>https://v360.in/diamondview.aspx?cid=preet&amp;d=HN-127-23</v>
      </c>
    </row>
    <row r="426" spans="1:54" ht="16" x14ac:dyDescent="0.2">
      <c r="A426" s="4" t="s">
        <v>486</v>
      </c>
      <c r="B426" s="7" t="s">
        <v>536</v>
      </c>
      <c r="C426" s="4" t="s">
        <v>563</v>
      </c>
      <c r="D426" s="8">
        <v>1.02</v>
      </c>
      <c r="E426" s="9" t="s">
        <v>536</v>
      </c>
      <c r="F426" s="4" t="s">
        <v>547</v>
      </c>
      <c r="G426" s="4" t="s">
        <v>539</v>
      </c>
      <c r="H426" s="4" t="s">
        <v>540</v>
      </c>
      <c r="I426" s="4" t="s">
        <v>551</v>
      </c>
      <c r="J426" s="4" t="s">
        <v>541</v>
      </c>
      <c r="L426" s="4" t="s">
        <v>990</v>
      </c>
      <c r="O426" s="4" t="s">
        <v>1040</v>
      </c>
      <c r="P426" s="4">
        <v>524211505</v>
      </c>
      <c r="R426" s="4">
        <v>7300</v>
      </c>
      <c r="S426">
        <f t="shared" si="12"/>
        <v>7446</v>
      </c>
      <c r="T426" s="7">
        <v>-96</v>
      </c>
      <c r="U426">
        <f t="shared" si="13"/>
        <v>297.84000000000003</v>
      </c>
      <c r="V426" s="15">
        <v>0.72299999999999998</v>
      </c>
      <c r="W426" s="15">
        <v>0.66500000000000004</v>
      </c>
      <c r="BB426" s="20" t="str">
        <f>HYPERLINK("https://view.gem360.in/gem360/3004220500-HN43-25/gem360-3004220500-HN43-25.html","https://view.gem360.in/gem360/3004220500-HN43-25/gem360-3004220500-HN43-25.html")</f>
        <v>https://view.gem360.in/gem360/3004220500-HN43-25/gem360-3004220500-HN43-25.html</v>
      </c>
    </row>
    <row r="427" spans="1:54" ht="16" x14ac:dyDescent="0.2">
      <c r="A427" s="4" t="s">
        <v>487</v>
      </c>
      <c r="B427" s="7" t="s">
        <v>536</v>
      </c>
      <c r="C427" s="4" t="s">
        <v>563</v>
      </c>
      <c r="D427" s="8">
        <v>1.02</v>
      </c>
      <c r="E427" s="9" t="s">
        <v>536</v>
      </c>
      <c r="F427" s="4" t="s">
        <v>538</v>
      </c>
      <c r="G427" s="4" t="s">
        <v>539</v>
      </c>
      <c r="H427" s="4" t="s">
        <v>540</v>
      </c>
      <c r="I427" s="4" t="s">
        <v>540</v>
      </c>
      <c r="J427" s="4" t="s">
        <v>541</v>
      </c>
      <c r="L427" s="4" t="s">
        <v>991</v>
      </c>
      <c r="O427" s="4" t="s">
        <v>1040</v>
      </c>
      <c r="P427" s="4">
        <v>566393803</v>
      </c>
      <c r="R427" s="4">
        <v>6600</v>
      </c>
      <c r="S427">
        <f t="shared" si="12"/>
        <v>6732</v>
      </c>
      <c r="T427" s="7">
        <v>-96</v>
      </c>
      <c r="U427">
        <f t="shared" si="13"/>
        <v>269.28000000000003</v>
      </c>
      <c r="V427" s="15">
        <v>0.65600000000000003</v>
      </c>
      <c r="W427" s="15">
        <v>0.70499999999999996</v>
      </c>
      <c r="BB427" s="20" t="str">
        <f>HYPERLINK("https://v360.in/diamondview.aspx?cid=preet&amp;d=HN-135-16","https://v360.in/diamondview.aspx?cid=preet&amp;d=HN-135-16")</f>
        <v>https://v360.in/diamondview.aspx?cid=preet&amp;d=HN-135-16</v>
      </c>
    </row>
    <row r="428" spans="1:54" ht="16" x14ac:dyDescent="0.2">
      <c r="A428" s="4" t="s">
        <v>488</v>
      </c>
      <c r="B428" s="7" t="s">
        <v>536</v>
      </c>
      <c r="C428" s="4" t="s">
        <v>563</v>
      </c>
      <c r="D428" s="8">
        <v>1.02</v>
      </c>
      <c r="E428" s="9" t="s">
        <v>536</v>
      </c>
      <c r="F428" s="4" t="s">
        <v>538</v>
      </c>
      <c r="G428" s="4" t="s">
        <v>539</v>
      </c>
      <c r="H428" s="4" t="s">
        <v>540</v>
      </c>
      <c r="I428" s="4" t="s">
        <v>540</v>
      </c>
      <c r="J428" s="4" t="s">
        <v>541</v>
      </c>
      <c r="L428" s="4" t="s">
        <v>992</v>
      </c>
      <c r="O428" s="4" t="s">
        <v>1040</v>
      </c>
      <c r="P428" s="4">
        <v>575396029</v>
      </c>
      <c r="R428" s="4">
        <v>6600</v>
      </c>
      <c r="S428">
        <f t="shared" si="12"/>
        <v>6732</v>
      </c>
      <c r="T428" s="7">
        <v>-96</v>
      </c>
      <c r="U428">
        <f t="shared" si="13"/>
        <v>269.28000000000003</v>
      </c>
      <c r="V428" s="15">
        <v>0.68200000000000005</v>
      </c>
      <c r="W428" s="16">
        <v>0.69</v>
      </c>
      <c r="BB428" s="20" t="str">
        <f>HYPERLINK("https://view.gem360.in/gem360/1704230658-HN-159-18/gem360-1704230658-HN-159-18.html","https://view.gem360.in/gem360/1704230658-HN-159-18/gem360-1704230658-HN-159-18.html")</f>
        <v>https://view.gem360.in/gem360/1704230658-HN-159-18/gem360-1704230658-HN-159-18.html</v>
      </c>
    </row>
    <row r="429" spans="1:54" ht="16" x14ac:dyDescent="0.2">
      <c r="A429" s="4" t="s">
        <v>489</v>
      </c>
      <c r="B429" s="7" t="s">
        <v>536</v>
      </c>
      <c r="C429" s="4" t="s">
        <v>563</v>
      </c>
      <c r="D429" s="8">
        <v>1.02</v>
      </c>
      <c r="E429" s="9" t="s">
        <v>542</v>
      </c>
      <c r="F429" s="4" t="s">
        <v>544</v>
      </c>
      <c r="G429" s="4" t="s">
        <v>539</v>
      </c>
      <c r="H429" s="4" t="s">
        <v>540</v>
      </c>
      <c r="I429" s="4" t="s">
        <v>540</v>
      </c>
      <c r="J429" s="4" t="s">
        <v>541</v>
      </c>
      <c r="L429" s="4" t="s">
        <v>993</v>
      </c>
      <c r="O429" s="4" t="s">
        <v>1040</v>
      </c>
      <c r="P429" s="4">
        <v>524248663</v>
      </c>
      <c r="R429" s="4">
        <v>6000</v>
      </c>
      <c r="S429">
        <f t="shared" si="12"/>
        <v>6120</v>
      </c>
      <c r="T429" s="7">
        <v>-96</v>
      </c>
      <c r="U429">
        <f t="shared" si="13"/>
        <v>244.8</v>
      </c>
      <c r="V429" s="15">
        <v>0.63100000000000001</v>
      </c>
      <c r="W429" s="16">
        <v>0.65</v>
      </c>
      <c r="BB429" s="20" t="str">
        <f>HYPERLINK("https://view.gem360.in/gem360/0905220523-HN40-117/gem360-0905220523-HN40-117.html","https://view.gem360.in/gem360/0905220523-HN40-117/gem360-0905220523-HN40-117.html")</f>
        <v>https://view.gem360.in/gem360/0905220523-HN40-117/gem360-0905220523-HN40-117.html</v>
      </c>
    </row>
    <row r="430" spans="1:54" ht="16" x14ac:dyDescent="0.2">
      <c r="A430" s="4" t="s">
        <v>490</v>
      </c>
      <c r="B430" s="7" t="s">
        <v>536</v>
      </c>
      <c r="C430" s="4" t="s">
        <v>563</v>
      </c>
      <c r="D430" s="8">
        <v>1.01</v>
      </c>
      <c r="E430" s="9" t="s">
        <v>546</v>
      </c>
      <c r="F430" s="4" t="s">
        <v>538</v>
      </c>
      <c r="G430" s="4" t="s">
        <v>539</v>
      </c>
      <c r="H430" s="4" t="s">
        <v>540</v>
      </c>
      <c r="I430" s="4" t="s">
        <v>540</v>
      </c>
      <c r="J430" s="4" t="s">
        <v>541</v>
      </c>
      <c r="L430" s="4" t="s">
        <v>994</v>
      </c>
      <c r="O430" s="4" t="s">
        <v>1040</v>
      </c>
      <c r="P430" s="4">
        <v>550231414</v>
      </c>
      <c r="R430" s="4">
        <v>6900</v>
      </c>
      <c r="S430">
        <f t="shared" si="12"/>
        <v>6969</v>
      </c>
      <c r="T430" s="7">
        <v>-96</v>
      </c>
      <c r="U430">
        <f t="shared" si="13"/>
        <v>278.76</v>
      </c>
      <c r="V430" s="16">
        <v>0.68</v>
      </c>
      <c r="W430" s="16">
        <v>0.71</v>
      </c>
      <c r="BB430" s="20" t="str">
        <f>HYPERLINK("https://v360.in/diamondview.aspx?cid=preet&amp;d=HN-97-51","https://v360.in/diamondview.aspx?cid=preet&amp;d=HN-97-51")</f>
        <v>https://v360.in/diamondview.aspx?cid=preet&amp;d=HN-97-51</v>
      </c>
    </row>
    <row r="431" spans="1:54" ht="16" x14ac:dyDescent="0.2">
      <c r="A431" s="4" t="s">
        <v>491</v>
      </c>
      <c r="B431" s="7" t="s">
        <v>536</v>
      </c>
      <c r="C431" s="4" t="s">
        <v>563</v>
      </c>
      <c r="D431" s="8">
        <v>1.01</v>
      </c>
      <c r="E431" s="9" t="s">
        <v>546</v>
      </c>
      <c r="F431" s="4" t="s">
        <v>544</v>
      </c>
      <c r="G431" s="4" t="s">
        <v>539</v>
      </c>
      <c r="H431" s="4" t="s">
        <v>540</v>
      </c>
      <c r="I431" s="4" t="s">
        <v>540</v>
      </c>
      <c r="J431" s="4" t="s">
        <v>541</v>
      </c>
      <c r="L431" s="4" t="s">
        <v>995</v>
      </c>
      <c r="O431" s="4" t="s">
        <v>1040</v>
      </c>
      <c r="P431" s="4">
        <v>567356399</v>
      </c>
      <c r="R431" s="4">
        <v>7500</v>
      </c>
      <c r="S431">
        <f t="shared" si="12"/>
        <v>7575</v>
      </c>
      <c r="T431" s="7">
        <v>-96</v>
      </c>
      <c r="U431">
        <f t="shared" si="13"/>
        <v>303</v>
      </c>
      <c r="V431" s="15">
        <v>0.67700000000000005</v>
      </c>
      <c r="W431" s="16">
        <v>0.6</v>
      </c>
      <c r="BB431" s="20" t="str">
        <f>HYPERLINK("https://v360.in/diamondview.aspx?cid=preet&amp;d=HN-136-32","https://v360.in/diamondview.aspx?cid=preet&amp;d=HN-136-32")</f>
        <v>https://v360.in/diamondview.aspx?cid=preet&amp;d=HN-136-32</v>
      </c>
    </row>
    <row r="432" spans="1:54" ht="16" x14ac:dyDescent="0.2">
      <c r="A432" s="4" t="s">
        <v>492</v>
      </c>
      <c r="B432" s="7" t="s">
        <v>536</v>
      </c>
      <c r="C432" s="4" t="s">
        <v>563</v>
      </c>
      <c r="D432" s="8">
        <v>1.01</v>
      </c>
      <c r="E432" s="9" t="s">
        <v>546</v>
      </c>
      <c r="F432" s="4" t="s">
        <v>549</v>
      </c>
      <c r="G432" s="4" t="s">
        <v>539</v>
      </c>
      <c r="H432" s="4" t="s">
        <v>540</v>
      </c>
      <c r="I432" s="4" t="s">
        <v>540</v>
      </c>
      <c r="J432" s="4" t="s">
        <v>541</v>
      </c>
      <c r="L432" s="4" t="s">
        <v>996</v>
      </c>
      <c r="O432" s="4" t="s">
        <v>1040</v>
      </c>
      <c r="P432" s="4">
        <v>576332074</v>
      </c>
      <c r="R432" s="4">
        <v>5300</v>
      </c>
      <c r="S432">
        <f t="shared" si="12"/>
        <v>5353</v>
      </c>
      <c r="T432" s="7">
        <v>-96</v>
      </c>
      <c r="U432">
        <f t="shared" si="13"/>
        <v>214.12</v>
      </c>
      <c r="V432" s="15">
        <v>0.66900000000000004</v>
      </c>
      <c r="W432" s="16">
        <v>0.62</v>
      </c>
      <c r="BB432" s="20" t="str">
        <f>HYPERLINK("https://view.gem360.in/gem360/2004231133-HN-160-2/gem360-2004231133-HN-160-2.html","https://view.gem360.in/gem360/2004231133-HN-160-2/gem360-2004231133-HN-160-2.html")</f>
        <v>https://view.gem360.in/gem360/2004231133-HN-160-2/gem360-2004231133-HN-160-2.html</v>
      </c>
    </row>
    <row r="433" spans="1:54" ht="16" x14ac:dyDescent="0.2">
      <c r="A433" s="4" t="s">
        <v>493</v>
      </c>
      <c r="B433" s="7" t="s">
        <v>536</v>
      </c>
      <c r="C433" s="4" t="s">
        <v>563</v>
      </c>
      <c r="D433" s="8">
        <v>1.01</v>
      </c>
      <c r="E433" s="9" t="s">
        <v>536</v>
      </c>
      <c r="F433" s="4" t="s">
        <v>547</v>
      </c>
      <c r="G433" s="4" t="s">
        <v>539</v>
      </c>
      <c r="H433" s="4" t="s">
        <v>540</v>
      </c>
      <c r="I433" s="4" t="s">
        <v>540</v>
      </c>
      <c r="J433" s="4" t="s">
        <v>541</v>
      </c>
      <c r="L433" s="4" t="s">
        <v>997</v>
      </c>
      <c r="O433" s="4" t="s">
        <v>1040</v>
      </c>
      <c r="P433" s="4">
        <v>569328538</v>
      </c>
      <c r="R433" s="4">
        <v>7300</v>
      </c>
      <c r="S433">
        <f t="shared" si="12"/>
        <v>7373</v>
      </c>
      <c r="T433" s="7">
        <v>-96</v>
      </c>
      <c r="U433">
        <f t="shared" si="13"/>
        <v>294.92</v>
      </c>
      <c r="V433" s="16">
        <v>0.7</v>
      </c>
      <c r="W433" s="15">
        <v>0.66500000000000004</v>
      </c>
      <c r="BB433" s="20" t="str">
        <f>HYPERLINK("https://v360.in/diamondview.aspx?cid=preet&amp;d=HN-137-4","https://v360.in/diamondview.aspx?cid=preet&amp;d=HN-137-4")</f>
        <v>https://v360.in/diamondview.aspx?cid=preet&amp;d=HN-137-4</v>
      </c>
    </row>
    <row r="434" spans="1:54" ht="16" x14ac:dyDescent="0.2">
      <c r="A434" s="4" t="s">
        <v>494</v>
      </c>
      <c r="B434" s="7" t="s">
        <v>536</v>
      </c>
      <c r="C434" s="4" t="s">
        <v>563</v>
      </c>
      <c r="D434" s="8">
        <v>1.01</v>
      </c>
      <c r="E434" s="9" t="s">
        <v>536</v>
      </c>
      <c r="F434" s="4" t="s">
        <v>538</v>
      </c>
      <c r="G434" s="4" t="s">
        <v>539</v>
      </c>
      <c r="H434" s="4" t="s">
        <v>540</v>
      </c>
      <c r="I434" s="4" t="s">
        <v>540</v>
      </c>
      <c r="J434" s="4" t="s">
        <v>541</v>
      </c>
      <c r="L434" s="4" t="s">
        <v>998</v>
      </c>
      <c r="O434" s="4" t="s">
        <v>1040</v>
      </c>
      <c r="P434" s="4">
        <v>570376202</v>
      </c>
      <c r="R434" s="4">
        <v>6600</v>
      </c>
      <c r="S434">
        <f t="shared" si="12"/>
        <v>6666</v>
      </c>
      <c r="T434" s="7">
        <v>-96</v>
      </c>
      <c r="U434">
        <f t="shared" si="13"/>
        <v>266.64</v>
      </c>
      <c r="V434" s="15">
        <v>0.66600000000000004</v>
      </c>
      <c r="W434" s="16">
        <v>0.61</v>
      </c>
      <c r="BB434" s="20" t="str">
        <f>HYPERLINK("https://v360.in/diamondview.aspx?cid=preet&amp;d=HN-148-18","https://v360.in/diamondview.aspx?cid=preet&amp;d=HN-148-18")</f>
        <v>https://v360.in/diamondview.aspx?cid=preet&amp;d=HN-148-18</v>
      </c>
    </row>
    <row r="435" spans="1:54" ht="16" x14ac:dyDescent="0.2">
      <c r="A435" s="4" t="s">
        <v>495</v>
      </c>
      <c r="B435" s="7" t="s">
        <v>536</v>
      </c>
      <c r="C435" s="4" t="s">
        <v>563</v>
      </c>
      <c r="D435" s="8">
        <v>1.01</v>
      </c>
      <c r="E435" s="9" t="s">
        <v>536</v>
      </c>
      <c r="F435" s="4" t="s">
        <v>538</v>
      </c>
      <c r="G435" s="4" t="s">
        <v>539</v>
      </c>
      <c r="H435" s="4" t="s">
        <v>540</v>
      </c>
      <c r="I435" s="4" t="s">
        <v>540</v>
      </c>
      <c r="J435" s="4" t="s">
        <v>541</v>
      </c>
      <c r="L435" s="4" t="s">
        <v>999</v>
      </c>
      <c r="O435" s="4" t="s">
        <v>1040</v>
      </c>
      <c r="P435" s="4">
        <v>570376231</v>
      </c>
      <c r="R435" s="4">
        <v>6600</v>
      </c>
      <c r="S435">
        <f t="shared" si="12"/>
        <v>6666</v>
      </c>
      <c r="T435" s="7">
        <v>-96</v>
      </c>
      <c r="U435">
        <f t="shared" si="13"/>
        <v>266.64</v>
      </c>
      <c r="V435" s="16">
        <v>0.67</v>
      </c>
      <c r="W435" s="16">
        <v>0.62</v>
      </c>
      <c r="BB435" s="20" t="str">
        <f>HYPERLINK("https://v360.in/diamondview.aspx?cid=preet&amp;d=HN-142-24","https://v360.in/diamondview.aspx?cid=preet&amp;d=HN-142-24")</f>
        <v>https://v360.in/diamondview.aspx?cid=preet&amp;d=HN-142-24</v>
      </c>
    </row>
    <row r="436" spans="1:54" ht="16" x14ac:dyDescent="0.2">
      <c r="A436" s="4" t="s">
        <v>496</v>
      </c>
      <c r="B436" s="7" t="s">
        <v>536</v>
      </c>
      <c r="C436" s="4" t="s">
        <v>563</v>
      </c>
      <c r="D436" s="8">
        <v>1.01</v>
      </c>
      <c r="E436" s="9" t="s">
        <v>536</v>
      </c>
      <c r="F436" s="4" t="s">
        <v>544</v>
      </c>
      <c r="G436" s="4" t="s">
        <v>539</v>
      </c>
      <c r="H436" s="4" t="s">
        <v>540</v>
      </c>
      <c r="I436" s="4" t="s">
        <v>540</v>
      </c>
      <c r="J436" s="4" t="s">
        <v>541</v>
      </c>
      <c r="L436" s="4" t="s">
        <v>1000</v>
      </c>
      <c r="O436" s="4" t="s">
        <v>1040</v>
      </c>
      <c r="P436" s="4">
        <v>572327192</v>
      </c>
      <c r="R436" s="4">
        <v>7000</v>
      </c>
      <c r="S436">
        <f t="shared" si="12"/>
        <v>7070</v>
      </c>
      <c r="T436" s="7">
        <v>-96</v>
      </c>
      <c r="U436">
        <f t="shared" si="13"/>
        <v>282.8</v>
      </c>
      <c r="V436" s="15">
        <v>0.67800000000000005</v>
      </c>
      <c r="W436" s="15">
        <v>0.68500000000000005</v>
      </c>
      <c r="BB436" s="20" t="str">
        <f>HYPERLINK("https://v360.in/diamondview.aspx?cid=preet&amp;d=HN-151-11","https://v360.in/diamondview.aspx?cid=preet&amp;d=HN-151-11")</f>
        <v>https://v360.in/diamondview.aspx?cid=preet&amp;d=HN-151-11</v>
      </c>
    </row>
    <row r="437" spans="1:54" ht="16" x14ac:dyDescent="0.2">
      <c r="A437" s="4" t="s">
        <v>497</v>
      </c>
      <c r="B437" s="7" t="s">
        <v>536</v>
      </c>
      <c r="C437" s="4" t="s">
        <v>563</v>
      </c>
      <c r="D437" s="8">
        <v>1.01</v>
      </c>
      <c r="E437" s="9" t="s">
        <v>536</v>
      </c>
      <c r="F437" s="4" t="s">
        <v>544</v>
      </c>
      <c r="G437" s="4" t="s">
        <v>539</v>
      </c>
      <c r="H437" s="4" t="s">
        <v>540</v>
      </c>
      <c r="I437" s="4" t="s">
        <v>540</v>
      </c>
      <c r="J437" s="4" t="s">
        <v>541</v>
      </c>
      <c r="L437" s="4" t="s">
        <v>1001</v>
      </c>
      <c r="O437" s="4" t="s">
        <v>1040</v>
      </c>
      <c r="P437" s="4">
        <v>564365286</v>
      </c>
      <c r="R437" s="4">
        <v>7000</v>
      </c>
      <c r="S437">
        <f t="shared" si="12"/>
        <v>7070</v>
      </c>
      <c r="T437" s="7">
        <v>-96</v>
      </c>
      <c r="U437">
        <f t="shared" si="13"/>
        <v>282.8</v>
      </c>
      <c r="V437" s="15">
        <v>0.64800000000000002</v>
      </c>
      <c r="W437" s="15">
        <v>0.63500000000000001</v>
      </c>
      <c r="BB437" s="20" t="str">
        <f>HYPERLINK("https://v360.in/diamondview.aspx?cid=preet&amp;d=HN-134-74","https://v360.in/diamondview.aspx?cid=preet&amp;d=HN-134-74")</f>
        <v>https://v360.in/diamondview.aspx?cid=preet&amp;d=HN-134-74</v>
      </c>
    </row>
    <row r="438" spans="1:54" ht="16" x14ac:dyDescent="0.2">
      <c r="A438" s="4" t="s">
        <v>498</v>
      </c>
      <c r="B438" s="7" t="s">
        <v>536</v>
      </c>
      <c r="C438" s="4" t="s">
        <v>563</v>
      </c>
      <c r="D438" s="8">
        <v>1.01</v>
      </c>
      <c r="E438" s="9" t="s">
        <v>542</v>
      </c>
      <c r="F438" s="4" t="s">
        <v>544</v>
      </c>
      <c r="G438" s="4" t="s">
        <v>539</v>
      </c>
      <c r="H438" s="4" t="s">
        <v>540</v>
      </c>
      <c r="I438" s="4" t="s">
        <v>540</v>
      </c>
      <c r="J438" s="4" t="s">
        <v>541</v>
      </c>
      <c r="L438" s="4" t="s">
        <v>1002</v>
      </c>
      <c r="O438" s="4" t="s">
        <v>1040</v>
      </c>
      <c r="P438" s="4">
        <v>567356400</v>
      </c>
      <c r="R438" s="4">
        <v>6000</v>
      </c>
      <c r="S438">
        <f t="shared" si="12"/>
        <v>6060</v>
      </c>
      <c r="T438" s="7">
        <v>-96</v>
      </c>
      <c r="U438">
        <f t="shared" si="13"/>
        <v>242.4</v>
      </c>
      <c r="V438" s="16">
        <v>0.62</v>
      </c>
      <c r="W438" s="16">
        <v>0.68</v>
      </c>
      <c r="BB438" s="20" t="str">
        <f>HYPERLINK("https://v360.in/diamondview.aspx?cid=preet&amp;d=HN-136-35","https://v360.in/diamondview.aspx?cid=preet&amp;d=HN-136-35")</f>
        <v>https://v360.in/diamondview.aspx?cid=preet&amp;d=HN-136-35</v>
      </c>
    </row>
    <row r="439" spans="1:54" ht="16" x14ac:dyDescent="0.2">
      <c r="A439" s="4" t="s">
        <v>499</v>
      </c>
      <c r="B439" s="7" t="s">
        <v>536</v>
      </c>
      <c r="C439" s="4" t="s">
        <v>563</v>
      </c>
      <c r="D439" s="8">
        <v>1.01</v>
      </c>
      <c r="E439" s="9" t="s">
        <v>542</v>
      </c>
      <c r="F439" s="4" t="s">
        <v>544</v>
      </c>
      <c r="G439" s="4" t="s">
        <v>539</v>
      </c>
      <c r="H439" s="4" t="s">
        <v>540</v>
      </c>
      <c r="I439" s="4" t="s">
        <v>551</v>
      </c>
      <c r="J439" s="4" t="s">
        <v>541</v>
      </c>
      <c r="L439" s="4" t="s">
        <v>1003</v>
      </c>
      <c r="O439" s="4" t="s">
        <v>1040</v>
      </c>
      <c r="P439" s="4">
        <v>566393795</v>
      </c>
      <c r="R439" s="4">
        <v>6000</v>
      </c>
      <c r="S439">
        <f t="shared" si="12"/>
        <v>6060</v>
      </c>
      <c r="T439" s="7">
        <v>-96</v>
      </c>
      <c r="U439">
        <f t="shared" si="13"/>
        <v>242.4</v>
      </c>
      <c r="V439" s="15">
        <v>0.64600000000000002</v>
      </c>
      <c r="W439" s="15">
        <v>0.60499999999999998</v>
      </c>
      <c r="BB439" s="20" t="str">
        <f>HYPERLINK("https://v360.in/diamondview.aspx?cid=preet&amp;d=HN-135-41","https://v360.in/diamondview.aspx?cid=preet&amp;d=HN-135-41")</f>
        <v>https://v360.in/diamondview.aspx?cid=preet&amp;d=HN-135-41</v>
      </c>
    </row>
    <row r="440" spans="1:54" ht="16" x14ac:dyDescent="0.2">
      <c r="A440" s="4" t="s">
        <v>500</v>
      </c>
      <c r="B440" s="7" t="s">
        <v>536</v>
      </c>
      <c r="C440" s="4" t="s">
        <v>563</v>
      </c>
      <c r="D440" s="8">
        <v>1.01</v>
      </c>
      <c r="E440" s="9" t="s">
        <v>542</v>
      </c>
      <c r="F440" s="4" t="s">
        <v>544</v>
      </c>
      <c r="G440" s="4" t="s">
        <v>539</v>
      </c>
      <c r="H440" s="4" t="s">
        <v>540</v>
      </c>
      <c r="I440" s="4" t="s">
        <v>540</v>
      </c>
      <c r="J440" s="4" t="s">
        <v>541</v>
      </c>
      <c r="L440" s="4" t="s">
        <v>1004</v>
      </c>
      <c r="O440" s="4" t="s">
        <v>1040</v>
      </c>
      <c r="P440" s="4">
        <v>547248641</v>
      </c>
      <c r="R440" s="4">
        <v>6000</v>
      </c>
      <c r="S440">
        <f t="shared" si="12"/>
        <v>6060</v>
      </c>
      <c r="T440" s="7">
        <v>-96</v>
      </c>
      <c r="U440">
        <f t="shared" si="13"/>
        <v>242.4</v>
      </c>
      <c r="V440" s="15">
        <v>0.71099999999999997</v>
      </c>
      <c r="W440" s="16">
        <v>0.61</v>
      </c>
      <c r="BB440" s="20" t="str">
        <f>HYPERLINK("https://v360.in/diamondview.aspx?cid=meet&amp;d=HN-86-76","https://v360.in/diamondview.aspx?cid=meet&amp;d=HN-86-76")</f>
        <v>https://v360.in/diamondview.aspx?cid=meet&amp;d=HN-86-76</v>
      </c>
    </row>
    <row r="441" spans="1:54" ht="16" x14ac:dyDescent="0.2">
      <c r="A441" s="4" t="s">
        <v>501</v>
      </c>
      <c r="B441" s="7" t="s">
        <v>536</v>
      </c>
      <c r="C441" s="4" t="s">
        <v>563</v>
      </c>
      <c r="D441" s="8">
        <v>1.01</v>
      </c>
      <c r="E441" s="9" t="s">
        <v>542</v>
      </c>
      <c r="F441" s="4" t="s">
        <v>544</v>
      </c>
      <c r="G441" s="4" t="s">
        <v>539</v>
      </c>
      <c r="H441" s="4" t="s">
        <v>540</v>
      </c>
      <c r="I441" s="4" t="s">
        <v>540</v>
      </c>
      <c r="J441" s="4" t="s">
        <v>541</v>
      </c>
      <c r="L441" s="4" t="s">
        <v>1005</v>
      </c>
      <c r="O441" s="4" t="s">
        <v>1040</v>
      </c>
      <c r="P441" s="4">
        <v>570370836</v>
      </c>
      <c r="R441" s="4">
        <v>6000</v>
      </c>
      <c r="S441">
        <f t="shared" si="12"/>
        <v>6060</v>
      </c>
      <c r="T441" s="7">
        <v>-96</v>
      </c>
      <c r="U441">
        <f t="shared" si="13"/>
        <v>242.4</v>
      </c>
      <c r="V441" s="15">
        <v>0.63600000000000001</v>
      </c>
      <c r="W441" s="15">
        <v>0.70499999999999996</v>
      </c>
      <c r="BB441" s="20" t="str">
        <f>HYPERLINK("https://v360.in/diamondview.aspx?cid=preet&amp;d=HN-147-14","https://v360.in/diamondview.aspx?cid=preet&amp;d=HN-147-14")</f>
        <v>https://v360.in/diamondview.aspx?cid=preet&amp;d=HN-147-14</v>
      </c>
    </row>
    <row r="442" spans="1:54" ht="16" x14ac:dyDescent="0.2">
      <c r="A442" s="4" t="s">
        <v>502</v>
      </c>
      <c r="B442" s="7" t="s">
        <v>536</v>
      </c>
      <c r="C442" s="4" t="s">
        <v>563</v>
      </c>
      <c r="D442" s="8">
        <v>1</v>
      </c>
      <c r="E442" s="9" t="s">
        <v>548</v>
      </c>
      <c r="F442" s="4" t="s">
        <v>538</v>
      </c>
      <c r="G442" s="4" t="s">
        <v>539</v>
      </c>
      <c r="H442" s="4" t="s">
        <v>540</v>
      </c>
      <c r="I442" s="4" t="s">
        <v>540</v>
      </c>
      <c r="J442" s="4" t="s">
        <v>541</v>
      </c>
      <c r="L442" s="4" t="s">
        <v>1006</v>
      </c>
      <c r="O442" s="4" t="s">
        <v>1040</v>
      </c>
      <c r="P442" s="4">
        <v>587308063</v>
      </c>
      <c r="R442" s="4">
        <v>7200</v>
      </c>
      <c r="S442">
        <f t="shared" si="12"/>
        <v>7200</v>
      </c>
      <c r="T442" s="7">
        <v>-96</v>
      </c>
      <c r="U442">
        <f t="shared" si="13"/>
        <v>288</v>
      </c>
      <c r="V442" s="15">
        <v>0.64900000000000002</v>
      </c>
      <c r="W442" s="16">
        <v>0.71</v>
      </c>
      <c r="BB442" s="20" t="str">
        <f>HYPERLINK("https://view.gem360.in/gem360/2906230716-HN-789/gem360-2906230716-HN-789.html","https://view.gem360.in/gem360/2906230716-HN-789/gem360-2906230716-HN-789.html")</f>
        <v>https://view.gem360.in/gem360/2906230716-HN-789/gem360-2906230716-HN-789.html</v>
      </c>
    </row>
    <row r="443" spans="1:54" ht="16" x14ac:dyDescent="0.2">
      <c r="A443" s="4" t="s">
        <v>503</v>
      </c>
      <c r="B443" s="7" t="s">
        <v>536</v>
      </c>
      <c r="C443" s="4" t="s">
        <v>563</v>
      </c>
      <c r="D443" s="8">
        <v>1</v>
      </c>
      <c r="E443" s="9" t="s">
        <v>548</v>
      </c>
      <c r="F443" s="4" t="s">
        <v>544</v>
      </c>
      <c r="G443" s="4" t="s">
        <v>539</v>
      </c>
      <c r="H443" s="4" t="s">
        <v>540</v>
      </c>
      <c r="I443" s="4" t="s">
        <v>540</v>
      </c>
      <c r="J443" s="4" t="s">
        <v>541</v>
      </c>
      <c r="L443" s="4" t="s">
        <v>1007</v>
      </c>
      <c r="O443" s="4" t="s">
        <v>1040</v>
      </c>
      <c r="P443" s="4">
        <v>587308062</v>
      </c>
      <c r="R443" s="4">
        <v>8000</v>
      </c>
      <c r="S443">
        <f t="shared" si="12"/>
        <v>8000</v>
      </c>
      <c r="T443" s="7">
        <v>-96</v>
      </c>
      <c r="U443">
        <f t="shared" si="13"/>
        <v>320</v>
      </c>
      <c r="V443" s="15">
        <v>0.628</v>
      </c>
      <c r="W443" s="16">
        <v>0.61</v>
      </c>
      <c r="BB443" s="20" t="str">
        <f>HYPERLINK("https://view.gem360.in/gem360/2906230720-HN-782/gem360-2906230720-HN-782.html","https://view.gem360.in/gem360/2906230720-HN-782/gem360-2906230720-HN-782.html")</f>
        <v>https://view.gem360.in/gem360/2906230720-HN-782/gem360-2906230720-HN-782.html</v>
      </c>
    </row>
    <row r="444" spans="1:54" ht="16" x14ac:dyDescent="0.2">
      <c r="A444" s="4" t="s">
        <v>504</v>
      </c>
      <c r="B444" s="7" t="s">
        <v>536</v>
      </c>
      <c r="C444" s="4" t="s">
        <v>563</v>
      </c>
      <c r="D444" s="8">
        <v>1</v>
      </c>
      <c r="E444" s="9" t="s">
        <v>548</v>
      </c>
      <c r="F444" s="4" t="s">
        <v>544</v>
      </c>
      <c r="G444" s="4" t="s">
        <v>539</v>
      </c>
      <c r="H444" s="4" t="s">
        <v>551</v>
      </c>
      <c r="I444" s="4" t="s">
        <v>551</v>
      </c>
      <c r="J444" s="4" t="s">
        <v>541</v>
      </c>
      <c r="L444" s="4" t="s">
        <v>1008</v>
      </c>
      <c r="O444" s="4" t="s">
        <v>1040</v>
      </c>
      <c r="P444" s="4">
        <v>517289734</v>
      </c>
      <c r="R444" s="4">
        <v>8000</v>
      </c>
      <c r="S444">
        <f t="shared" si="12"/>
        <v>8000</v>
      </c>
      <c r="T444" s="7">
        <v>-96</v>
      </c>
      <c r="U444">
        <f t="shared" si="13"/>
        <v>320</v>
      </c>
      <c r="V444" s="15">
        <v>0.59899999999999998</v>
      </c>
      <c r="W444" s="16">
        <v>0.65</v>
      </c>
      <c r="BB444" s="20" t="str">
        <f>HYPERLINK("","")</f>
        <v/>
      </c>
    </row>
    <row r="445" spans="1:54" ht="16" x14ac:dyDescent="0.2">
      <c r="A445" s="4" t="s">
        <v>505</v>
      </c>
      <c r="B445" s="7" t="s">
        <v>536</v>
      </c>
      <c r="C445" s="4" t="s">
        <v>563</v>
      </c>
      <c r="D445" s="8">
        <v>1</v>
      </c>
      <c r="E445" s="9" t="s">
        <v>546</v>
      </c>
      <c r="F445" s="4" t="s">
        <v>547</v>
      </c>
      <c r="G445" s="4" t="s">
        <v>539</v>
      </c>
      <c r="H445" s="4" t="s">
        <v>540</v>
      </c>
      <c r="I445" s="4" t="s">
        <v>540</v>
      </c>
      <c r="J445" s="4" t="s">
        <v>541</v>
      </c>
      <c r="L445" s="4" t="s">
        <v>1009</v>
      </c>
      <c r="O445" s="4" t="s">
        <v>1040</v>
      </c>
      <c r="P445" s="4">
        <v>571307666</v>
      </c>
      <c r="R445" s="4">
        <v>8000</v>
      </c>
      <c r="S445">
        <f t="shared" si="12"/>
        <v>8000</v>
      </c>
      <c r="T445" s="7">
        <v>-96</v>
      </c>
      <c r="U445">
        <f t="shared" si="13"/>
        <v>320</v>
      </c>
      <c r="V445" s="15">
        <v>0.68300000000000005</v>
      </c>
      <c r="W445" s="15">
        <v>0.67500000000000004</v>
      </c>
      <c r="BB445" s="20" t="str">
        <f>HYPERLINK("https://v360.in/diamondview.aspx?cid=preet&amp;d=HN-150-12","https://v360.in/diamondview.aspx?cid=preet&amp;d=HN-150-12")</f>
        <v>https://v360.in/diamondview.aspx?cid=preet&amp;d=HN-150-12</v>
      </c>
    </row>
    <row r="446" spans="1:54" ht="16" x14ac:dyDescent="0.2">
      <c r="A446" s="4" t="s">
        <v>506</v>
      </c>
      <c r="B446" s="7" t="s">
        <v>536</v>
      </c>
      <c r="C446" s="4" t="s">
        <v>563</v>
      </c>
      <c r="D446" s="8">
        <v>1</v>
      </c>
      <c r="E446" s="9" t="s">
        <v>546</v>
      </c>
      <c r="F446" s="4" t="s">
        <v>538</v>
      </c>
      <c r="G446" s="4" t="s">
        <v>539</v>
      </c>
      <c r="H446" s="4" t="s">
        <v>540</v>
      </c>
      <c r="I446" s="4" t="s">
        <v>551</v>
      </c>
      <c r="J446" s="4" t="s">
        <v>541</v>
      </c>
      <c r="L446" s="4" t="s">
        <v>1010</v>
      </c>
      <c r="O446" s="4" t="s">
        <v>1040</v>
      </c>
      <c r="P446" s="4">
        <v>566393801</v>
      </c>
      <c r="R446" s="4">
        <v>6900</v>
      </c>
      <c r="S446">
        <f t="shared" si="12"/>
        <v>6900</v>
      </c>
      <c r="T446" s="7">
        <v>-96</v>
      </c>
      <c r="U446">
        <f t="shared" si="13"/>
        <v>276</v>
      </c>
      <c r="V446" s="15">
        <v>0.66600000000000004</v>
      </c>
      <c r="W446" s="16">
        <v>0.67</v>
      </c>
      <c r="BB446" s="20" t="str">
        <f>HYPERLINK("https://v360.in/diamondview.aspx?cid=preet&amp;d=HN-135-12","https://v360.in/diamondview.aspx?cid=preet&amp;d=HN-135-12")</f>
        <v>https://v360.in/diamondview.aspx?cid=preet&amp;d=HN-135-12</v>
      </c>
    </row>
    <row r="447" spans="1:54" ht="16" x14ac:dyDescent="0.2">
      <c r="A447" s="4" t="s">
        <v>507</v>
      </c>
      <c r="B447" s="7" t="s">
        <v>536</v>
      </c>
      <c r="C447" s="4" t="s">
        <v>563</v>
      </c>
      <c r="D447" s="8">
        <v>1</v>
      </c>
      <c r="E447" s="9" t="s">
        <v>546</v>
      </c>
      <c r="F447" s="4" t="s">
        <v>544</v>
      </c>
      <c r="G447" s="4" t="s">
        <v>539</v>
      </c>
      <c r="H447" s="4" t="s">
        <v>540</v>
      </c>
      <c r="I447" s="4" t="s">
        <v>551</v>
      </c>
      <c r="J447" s="4" t="s">
        <v>541</v>
      </c>
      <c r="L447" s="4" t="s">
        <v>1011</v>
      </c>
      <c r="O447" s="4" t="s">
        <v>1040</v>
      </c>
      <c r="P447" s="4">
        <v>569328536</v>
      </c>
      <c r="R447" s="4">
        <v>7500</v>
      </c>
      <c r="S447">
        <f t="shared" si="12"/>
        <v>7500</v>
      </c>
      <c r="T447" s="7">
        <v>-96</v>
      </c>
      <c r="U447">
        <f t="shared" si="13"/>
        <v>300</v>
      </c>
      <c r="V447" s="15">
        <v>0.65500000000000003</v>
      </c>
      <c r="W447" s="15">
        <v>0.57499999999999996</v>
      </c>
      <c r="BB447" s="20" t="str">
        <f>HYPERLINK("https://v360.in/diamondview.aspx?cid=preet&amp;d=HN-137-2","https://v360.in/diamondview.aspx?cid=preet&amp;d=HN-137-2")</f>
        <v>https://v360.in/diamondview.aspx?cid=preet&amp;d=HN-137-2</v>
      </c>
    </row>
    <row r="448" spans="1:54" ht="16" x14ac:dyDescent="0.2">
      <c r="A448" s="4" t="s">
        <v>508</v>
      </c>
      <c r="B448" s="7" t="s">
        <v>536</v>
      </c>
      <c r="C448" s="4" t="s">
        <v>563</v>
      </c>
      <c r="D448" s="8">
        <v>1</v>
      </c>
      <c r="E448" s="9" t="s">
        <v>546</v>
      </c>
      <c r="F448" s="4" t="s">
        <v>549</v>
      </c>
      <c r="G448" s="4" t="s">
        <v>539</v>
      </c>
      <c r="H448" s="4" t="s">
        <v>540</v>
      </c>
      <c r="I448" s="4" t="s">
        <v>551</v>
      </c>
      <c r="J448" s="4" t="s">
        <v>541</v>
      </c>
      <c r="L448" s="4" t="s">
        <v>1012</v>
      </c>
      <c r="O448" s="4" t="s">
        <v>1040</v>
      </c>
      <c r="P448" s="4">
        <v>571301023</v>
      </c>
      <c r="R448" s="4">
        <v>5300</v>
      </c>
      <c r="S448">
        <f t="shared" si="12"/>
        <v>5300</v>
      </c>
      <c r="T448" s="7">
        <v>-96</v>
      </c>
      <c r="U448">
        <f t="shared" si="13"/>
        <v>212</v>
      </c>
      <c r="V448" s="15">
        <v>0.65900000000000003</v>
      </c>
      <c r="W448" s="15">
        <v>0.59499999999999997</v>
      </c>
      <c r="BB448" s="20" t="str">
        <f>HYPERLINK("https://v360.in/diamondview.aspx?cid=preet&amp;d=HN-141-7","https://v360.in/diamondview.aspx?cid=preet&amp;d=HN-141-7")</f>
        <v>https://v360.in/diamondview.aspx?cid=preet&amp;d=HN-141-7</v>
      </c>
    </row>
    <row r="449" spans="1:54" ht="16" x14ac:dyDescent="0.2">
      <c r="A449" s="4" t="s">
        <v>509</v>
      </c>
      <c r="B449" s="7" t="s">
        <v>536</v>
      </c>
      <c r="C449" s="4" t="s">
        <v>563</v>
      </c>
      <c r="D449" s="8">
        <v>1</v>
      </c>
      <c r="E449" s="9" t="s">
        <v>536</v>
      </c>
      <c r="F449" s="4" t="s">
        <v>553</v>
      </c>
      <c r="G449" s="4" t="s">
        <v>539</v>
      </c>
      <c r="H449" s="4" t="s">
        <v>540</v>
      </c>
      <c r="I449" s="4" t="s">
        <v>551</v>
      </c>
      <c r="J449" s="4" t="s">
        <v>541</v>
      </c>
      <c r="L449" s="4" t="s">
        <v>1013</v>
      </c>
      <c r="O449" s="4" t="s">
        <v>1040</v>
      </c>
      <c r="P449" s="4">
        <v>567356445</v>
      </c>
      <c r="R449" s="4">
        <v>4300</v>
      </c>
      <c r="S449">
        <f t="shared" si="12"/>
        <v>4300</v>
      </c>
      <c r="T449" s="7">
        <v>-96</v>
      </c>
      <c r="U449">
        <f t="shared" si="13"/>
        <v>172</v>
      </c>
      <c r="V449" s="15">
        <v>0.626</v>
      </c>
      <c r="W449" s="16">
        <v>0.6</v>
      </c>
      <c r="BB449" s="20" t="str">
        <f>HYPERLINK("https://v360.in/diamondview.aspx?cid=preet&amp;d=HN-136-36","https://v360.in/diamondview.aspx?cid=preet&amp;d=HN-136-36")</f>
        <v>https://v360.in/diamondview.aspx?cid=preet&amp;d=HN-136-36</v>
      </c>
    </row>
    <row r="450" spans="1:54" ht="16" x14ac:dyDescent="0.2">
      <c r="A450" s="4" t="s">
        <v>510</v>
      </c>
      <c r="B450" s="7" t="s">
        <v>536</v>
      </c>
      <c r="C450" s="4" t="s">
        <v>563</v>
      </c>
      <c r="D450" s="8">
        <v>1</v>
      </c>
      <c r="E450" s="9" t="s">
        <v>542</v>
      </c>
      <c r="F450" s="4" t="s">
        <v>538</v>
      </c>
      <c r="G450" s="4" t="s">
        <v>539</v>
      </c>
      <c r="H450" s="4" t="s">
        <v>540</v>
      </c>
      <c r="I450" s="4" t="s">
        <v>556</v>
      </c>
      <c r="J450" s="4" t="s">
        <v>541</v>
      </c>
      <c r="L450" s="4" t="s">
        <v>1014</v>
      </c>
      <c r="O450" s="4" t="s">
        <v>1040</v>
      </c>
      <c r="P450" s="4">
        <v>547265230</v>
      </c>
      <c r="R450" s="4">
        <v>5700</v>
      </c>
      <c r="S450">
        <f t="shared" si="12"/>
        <v>5700</v>
      </c>
      <c r="T450" s="7">
        <v>-96</v>
      </c>
      <c r="U450">
        <f t="shared" si="13"/>
        <v>228</v>
      </c>
      <c r="V450" s="15">
        <v>0.69299999999999995</v>
      </c>
      <c r="W450" s="16">
        <v>0.69</v>
      </c>
      <c r="BB450" s="20" t="str">
        <f>HYPERLINK("https://view.gem360.in/gem360/0304230833-HN-81-161/gem360-0304230833-HN-81-161.html","https://view.gem360.in/gem360/0304230833-HN-81-161/gem360-0304230833-HN-81-161.html")</f>
        <v>https://view.gem360.in/gem360/0304230833-HN-81-161/gem360-0304230833-HN-81-161.html</v>
      </c>
    </row>
    <row r="451" spans="1:54" ht="16" x14ac:dyDescent="0.2">
      <c r="A451" s="4" t="s">
        <v>511</v>
      </c>
      <c r="B451" s="7" t="s">
        <v>536</v>
      </c>
      <c r="C451" s="4" t="s">
        <v>563</v>
      </c>
      <c r="D451" s="8">
        <v>1</v>
      </c>
      <c r="E451" s="9" t="s">
        <v>542</v>
      </c>
      <c r="F451" s="4" t="s">
        <v>544</v>
      </c>
      <c r="G451" s="4" t="s">
        <v>539</v>
      </c>
      <c r="H451" s="4" t="s">
        <v>540</v>
      </c>
      <c r="I451" s="4" t="s">
        <v>540</v>
      </c>
      <c r="J451" s="4" t="s">
        <v>541</v>
      </c>
      <c r="L451" s="4" t="s">
        <v>1015</v>
      </c>
      <c r="O451" s="4" t="s">
        <v>1040</v>
      </c>
      <c r="P451" s="4">
        <v>570370837</v>
      </c>
      <c r="R451" s="4">
        <v>6000</v>
      </c>
      <c r="S451">
        <f t="shared" ref="S451:S475" si="14">R451*D451</f>
        <v>6000</v>
      </c>
      <c r="T451" s="7">
        <v>-96</v>
      </c>
      <c r="U451">
        <f t="shared" ref="U451:U475" si="15">(R451+(R451*T451)/100)*D451</f>
        <v>240</v>
      </c>
      <c r="V451" s="15">
        <v>0.63700000000000001</v>
      </c>
      <c r="W451" s="15">
        <v>0.72499999999999998</v>
      </c>
      <c r="BB451" s="20" t="str">
        <f>HYPERLINK("https://v360.in/diamondview.aspx?cid=preet&amp;d=HN-147-8","https://v360.in/diamondview.aspx?cid=preet&amp;d=HN-147-8")</f>
        <v>https://v360.in/diamondview.aspx?cid=preet&amp;d=HN-147-8</v>
      </c>
    </row>
    <row r="452" spans="1:54" ht="16" x14ac:dyDescent="0.2">
      <c r="A452" s="4" t="s">
        <v>512</v>
      </c>
      <c r="B452" s="7" t="s">
        <v>536</v>
      </c>
      <c r="C452" s="4" t="s">
        <v>563</v>
      </c>
      <c r="D452" s="8">
        <v>0.95</v>
      </c>
      <c r="E452" s="9" t="s">
        <v>536</v>
      </c>
      <c r="F452" s="4" t="s">
        <v>538</v>
      </c>
      <c r="G452" s="4" t="s">
        <v>539</v>
      </c>
      <c r="H452" s="4" t="s">
        <v>540</v>
      </c>
      <c r="I452" s="4" t="s">
        <v>540</v>
      </c>
      <c r="J452" s="4" t="s">
        <v>541</v>
      </c>
      <c r="L452" s="4" t="s">
        <v>1016</v>
      </c>
      <c r="O452" s="4" t="s">
        <v>1040</v>
      </c>
      <c r="P452" s="4">
        <v>522224994</v>
      </c>
      <c r="R452" s="4">
        <v>4900</v>
      </c>
      <c r="S452">
        <f t="shared" si="14"/>
        <v>4655</v>
      </c>
      <c r="T452" s="7">
        <v>-96</v>
      </c>
      <c r="U452">
        <f t="shared" si="15"/>
        <v>186.2</v>
      </c>
      <c r="V452" s="16">
        <v>0.64</v>
      </c>
      <c r="W452" s="15">
        <v>0.64500000000000002</v>
      </c>
      <c r="BB452" s="20" t="str">
        <f>HYPERLINK("https://view.gem360.in/gem360/0804221021-HN39-138/gem360-0804221021-HN39-138.html","https://view.gem360.in/gem360/0804221021-HN39-138/gem360-0804221021-HN39-138.html")</f>
        <v>https://view.gem360.in/gem360/0804221021-HN39-138/gem360-0804221021-HN39-138.html</v>
      </c>
    </row>
    <row r="453" spans="1:54" ht="16" x14ac:dyDescent="0.2">
      <c r="A453" s="4" t="s">
        <v>513</v>
      </c>
      <c r="B453" s="7" t="s">
        <v>536</v>
      </c>
      <c r="C453" s="4" t="s">
        <v>563</v>
      </c>
      <c r="D453" s="8">
        <v>0.94</v>
      </c>
      <c r="E453" s="9" t="s">
        <v>536</v>
      </c>
      <c r="F453" s="4" t="s">
        <v>538</v>
      </c>
      <c r="G453" s="4" t="s">
        <v>539</v>
      </c>
      <c r="H453" s="4" t="s">
        <v>540</v>
      </c>
      <c r="I453" s="4" t="s">
        <v>540</v>
      </c>
      <c r="J453" s="4" t="s">
        <v>541</v>
      </c>
      <c r="L453" s="4" t="s">
        <v>1017</v>
      </c>
      <c r="O453" s="4" t="s">
        <v>1040</v>
      </c>
      <c r="P453" s="4">
        <v>522224995</v>
      </c>
      <c r="R453" s="4">
        <v>4900</v>
      </c>
      <c r="S453">
        <f t="shared" si="14"/>
        <v>4606</v>
      </c>
      <c r="T453" s="7">
        <v>-96</v>
      </c>
      <c r="U453">
        <f t="shared" si="15"/>
        <v>184.23999999999998</v>
      </c>
      <c r="V453" s="15">
        <v>0.69899999999999995</v>
      </c>
      <c r="W453" s="15">
        <v>0.58499999999999996</v>
      </c>
      <c r="BB453" s="20" t="str">
        <f>HYPERLINK("https://view.gem360.in/gem360/0804221032-HN39-140/gem360-0804221032-HN39-140.html","https://view.gem360.in/gem360/0804221032-HN39-140/gem360-0804221032-HN39-140.html")</f>
        <v>https://view.gem360.in/gem360/0804221032-HN39-140/gem360-0804221032-HN39-140.html</v>
      </c>
    </row>
    <row r="454" spans="1:54" ht="16" x14ac:dyDescent="0.2">
      <c r="A454" s="4" t="s">
        <v>514</v>
      </c>
      <c r="B454" s="7" t="s">
        <v>536</v>
      </c>
      <c r="C454" s="4" t="s">
        <v>563</v>
      </c>
      <c r="D454" s="8">
        <v>0.93</v>
      </c>
      <c r="E454" s="9" t="s">
        <v>546</v>
      </c>
      <c r="F454" s="4" t="s">
        <v>538</v>
      </c>
      <c r="G454" s="4" t="s">
        <v>539</v>
      </c>
      <c r="H454" s="4" t="s">
        <v>540</v>
      </c>
      <c r="I454" s="4" t="s">
        <v>551</v>
      </c>
      <c r="J454" s="4" t="s">
        <v>541</v>
      </c>
      <c r="L454" s="4" t="s">
        <v>1018</v>
      </c>
      <c r="O454" s="4" t="s">
        <v>1040</v>
      </c>
      <c r="P454" s="4">
        <v>526286721</v>
      </c>
      <c r="R454" s="4">
        <v>5200</v>
      </c>
      <c r="S454">
        <f t="shared" si="14"/>
        <v>4836</v>
      </c>
      <c r="T454" s="7">
        <v>-96</v>
      </c>
      <c r="U454">
        <f t="shared" si="15"/>
        <v>193.44</v>
      </c>
      <c r="V454" s="15">
        <v>0.65400000000000003</v>
      </c>
      <c r="W454" s="15">
        <v>0.65500000000000003</v>
      </c>
      <c r="BB454" s="20" t="str">
        <f>HYPERLINK("","")</f>
        <v/>
      </c>
    </row>
    <row r="455" spans="1:54" ht="16" x14ac:dyDescent="0.2">
      <c r="A455" s="4" t="s">
        <v>515</v>
      </c>
      <c r="B455" s="7" t="s">
        <v>536</v>
      </c>
      <c r="C455" s="4" t="s">
        <v>563</v>
      </c>
      <c r="D455" s="8">
        <v>0.93</v>
      </c>
      <c r="E455" s="9" t="s">
        <v>555</v>
      </c>
      <c r="F455" s="4" t="s">
        <v>547</v>
      </c>
      <c r="G455" s="4" t="s">
        <v>539</v>
      </c>
      <c r="H455" s="4" t="s">
        <v>540</v>
      </c>
      <c r="I455" s="4" t="s">
        <v>540</v>
      </c>
      <c r="J455" s="4" t="s">
        <v>541</v>
      </c>
      <c r="L455" s="4" t="s">
        <v>1019</v>
      </c>
      <c r="O455" s="4" t="s">
        <v>1040</v>
      </c>
      <c r="P455" s="4">
        <v>547248635</v>
      </c>
      <c r="R455" s="4">
        <v>4400</v>
      </c>
      <c r="S455">
        <f t="shared" si="14"/>
        <v>4092</v>
      </c>
      <c r="T455" s="7">
        <v>-96</v>
      </c>
      <c r="U455">
        <f t="shared" si="15"/>
        <v>163.68</v>
      </c>
      <c r="V455" s="15">
        <v>0.63200000000000001</v>
      </c>
      <c r="W455" s="16">
        <v>0.69</v>
      </c>
      <c r="BB455" s="20" t="str">
        <f>HYPERLINK("https://view.gem360.in/gem360/0304230733-HN-86-73/gem360-0304230733-HN-86-73.html","https://view.gem360.in/gem360/0304230733-HN-86-73/gem360-0304230733-HN-86-73.html")</f>
        <v>https://view.gem360.in/gem360/0304230733-HN-86-73/gem360-0304230733-HN-86-73.html</v>
      </c>
    </row>
    <row r="456" spans="1:54" ht="16" x14ac:dyDescent="0.2">
      <c r="A456" s="4" t="s">
        <v>516</v>
      </c>
      <c r="B456" s="7" t="s">
        <v>536</v>
      </c>
      <c r="C456" s="4" t="s">
        <v>563</v>
      </c>
      <c r="D456" s="8">
        <v>0.93</v>
      </c>
      <c r="E456" s="9" t="s">
        <v>555</v>
      </c>
      <c r="F456" s="4" t="s">
        <v>544</v>
      </c>
      <c r="G456" s="4" t="s">
        <v>539</v>
      </c>
      <c r="H456" s="4" t="s">
        <v>540</v>
      </c>
      <c r="I456" s="4" t="s">
        <v>540</v>
      </c>
      <c r="J456" s="4" t="s">
        <v>541</v>
      </c>
      <c r="L456" s="4" t="s">
        <v>1020</v>
      </c>
      <c r="O456" s="4" t="s">
        <v>1040</v>
      </c>
      <c r="P456" s="4">
        <v>464109437</v>
      </c>
      <c r="R456" s="4">
        <v>4100</v>
      </c>
      <c r="S456">
        <f t="shared" si="14"/>
        <v>3813</v>
      </c>
      <c r="T456" s="7">
        <v>-96</v>
      </c>
      <c r="U456">
        <f t="shared" si="15"/>
        <v>152.52000000000001</v>
      </c>
      <c r="V456" s="15">
        <v>0.69099999999999995</v>
      </c>
      <c r="W456" s="16">
        <v>0.64</v>
      </c>
      <c r="BB456" s="20" t="str">
        <f>HYPERLINK("http://view.gem360.in/gem360/0605210731-HN-8-33/gem360-0605210731-HN-8-33.html","http://view.gem360.in/gem360/0605210731-HN-8-33/gem360-0605210731-HN-8-33.html")</f>
        <v>http://view.gem360.in/gem360/0605210731-HN-8-33/gem360-0605210731-HN-8-33.html</v>
      </c>
    </row>
    <row r="457" spans="1:54" ht="16" x14ac:dyDescent="0.2">
      <c r="A457" s="4" t="s">
        <v>517</v>
      </c>
      <c r="B457" s="7" t="s">
        <v>536</v>
      </c>
      <c r="C457" s="4" t="s">
        <v>563</v>
      </c>
      <c r="D457" s="8">
        <v>0.92</v>
      </c>
      <c r="E457" s="9" t="s">
        <v>546</v>
      </c>
      <c r="F457" s="4" t="s">
        <v>544</v>
      </c>
      <c r="G457" s="4" t="s">
        <v>539</v>
      </c>
      <c r="H457" s="4" t="s">
        <v>540</v>
      </c>
      <c r="I457" s="4" t="s">
        <v>540</v>
      </c>
      <c r="J457" s="4" t="s">
        <v>541</v>
      </c>
      <c r="L457" s="4" t="s">
        <v>1021</v>
      </c>
      <c r="O457" s="4" t="s">
        <v>1040</v>
      </c>
      <c r="P457" s="4">
        <v>483112998</v>
      </c>
      <c r="R457" s="4">
        <v>5500</v>
      </c>
      <c r="S457">
        <f t="shared" si="14"/>
        <v>5060</v>
      </c>
      <c r="T457" s="7">
        <v>-96</v>
      </c>
      <c r="U457">
        <f t="shared" si="15"/>
        <v>202.4</v>
      </c>
      <c r="V457" s="15">
        <v>0.67700000000000005</v>
      </c>
      <c r="W457" s="16">
        <v>0.68</v>
      </c>
      <c r="BB457" s="20" t="str">
        <f>HYPERLINK("https://view.gem360.in/gem360/0804221037-HN2-1/gem360-0804221037-HN2-1.html","https://view.gem360.in/gem360/0804221037-HN2-1/gem360-0804221037-HN2-1.html")</f>
        <v>https://view.gem360.in/gem360/0804221037-HN2-1/gem360-0804221037-HN2-1.html</v>
      </c>
    </row>
    <row r="458" spans="1:54" ht="16" x14ac:dyDescent="0.2">
      <c r="A458" s="4" t="s">
        <v>518</v>
      </c>
      <c r="B458" s="7" t="s">
        <v>536</v>
      </c>
      <c r="C458" s="4" t="s">
        <v>563</v>
      </c>
      <c r="D458" s="8">
        <v>0.92</v>
      </c>
      <c r="E458" s="9" t="s">
        <v>536</v>
      </c>
      <c r="F458" s="4" t="s">
        <v>544</v>
      </c>
      <c r="G458" s="4" t="s">
        <v>539</v>
      </c>
      <c r="H458" s="4" t="s">
        <v>540</v>
      </c>
      <c r="I458" s="4" t="s">
        <v>540</v>
      </c>
      <c r="J458" s="4" t="s">
        <v>541</v>
      </c>
      <c r="L458" s="4" t="s">
        <v>1022</v>
      </c>
      <c r="O458" s="4" t="s">
        <v>1040</v>
      </c>
      <c r="P458" s="4">
        <v>522224996</v>
      </c>
      <c r="R458" s="4">
        <v>5200</v>
      </c>
      <c r="S458">
        <f t="shared" si="14"/>
        <v>4784</v>
      </c>
      <c r="T458" s="7">
        <v>-96</v>
      </c>
      <c r="U458">
        <f t="shared" si="15"/>
        <v>191.36</v>
      </c>
      <c r="V458" s="15">
        <v>0.70399999999999996</v>
      </c>
      <c r="W458" s="15">
        <v>0.72499999999999998</v>
      </c>
      <c r="BB458" s="20" t="str">
        <f>HYPERLINK("https://view.gem360.in/gem360/0804221037-HN39-133/gem360-0804221037-HN39-133.html","https://view.gem360.in/gem360/0804221037-HN39-133/gem360-0804221037-HN39-133.html")</f>
        <v>https://view.gem360.in/gem360/0804221037-HN39-133/gem360-0804221037-HN39-133.html</v>
      </c>
    </row>
    <row r="459" spans="1:54" ht="16" x14ac:dyDescent="0.2">
      <c r="A459" s="4" t="s">
        <v>519</v>
      </c>
      <c r="B459" s="7" t="s">
        <v>536</v>
      </c>
      <c r="C459" s="4" t="s">
        <v>563</v>
      </c>
      <c r="D459" s="8">
        <v>0.91</v>
      </c>
      <c r="E459" s="9" t="s">
        <v>536</v>
      </c>
      <c r="F459" s="4" t="s">
        <v>538</v>
      </c>
      <c r="G459" s="4" t="s">
        <v>539</v>
      </c>
      <c r="H459" s="4" t="s">
        <v>540</v>
      </c>
      <c r="I459" s="4" t="s">
        <v>551</v>
      </c>
      <c r="J459" s="4" t="s">
        <v>541</v>
      </c>
      <c r="L459" s="4" t="s">
        <v>1023</v>
      </c>
      <c r="O459" s="4" t="s">
        <v>1040</v>
      </c>
      <c r="P459" s="4">
        <v>526286011</v>
      </c>
      <c r="R459" s="4">
        <v>4900</v>
      </c>
      <c r="S459">
        <f t="shared" si="14"/>
        <v>4459</v>
      </c>
      <c r="T459" s="7">
        <v>-96</v>
      </c>
      <c r="U459">
        <f t="shared" si="15"/>
        <v>178.36</v>
      </c>
      <c r="V459" s="15">
        <v>0.70099999999999996</v>
      </c>
      <c r="W459" s="15">
        <v>0.68500000000000005</v>
      </c>
      <c r="BB459" s="20" t="str">
        <f>HYPERLINK("https://view.gem360.in/gem360/2005220724-HN40-113/gem360-2005220724-HN40-113.html","https://view.gem360.in/gem360/2005220724-HN40-113/gem360-2005220724-HN40-113.html")</f>
        <v>https://view.gem360.in/gem360/2005220724-HN40-113/gem360-2005220724-HN40-113.html</v>
      </c>
    </row>
    <row r="460" spans="1:54" ht="16" x14ac:dyDescent="0.2">
      <c r="A460" s="4" t="s">
        <v>520</v>
      </c>
      <c r="B460" s="7" t="s">
        <v>536</v>
      </c>
      <c r="C460" s="4" t="s">
        <v>563</v>
      </c>
      <c r="D460" s="8">
        <v>0.9</v>
      </c>
      <c r="E460" s="9" t="s">
        <v>546</v>
      </c>
      <c r="F460" s="4" t="s">
        <v>547</v>
      </c>
      <c r="G460" s="4" t="s">
        <v>539</v>
      </c>
      <c r="H460" s="4" t="s">
        <v>540</v>
      </c>
      <c r="I460" s="4" t="s">
        <v>551</v>
      </c>
      <c r="J460" s="4" t="s">
        <v>541</v>
      </c>
      <c r="L460" s="4" t="s">
        <v>1024</v>
      </c>
      <c r="O460" s="4" t="s">
        <v>1040</v>
      </c>
      <c r="P460" s="4">
        <v>522254621</v>
      </c>
      <c r="R460" s="4">
        <v>6000</v>
      </c>
      <c r="S460">
        <f t="shared" si="14"/>
        <v>5400</v>
      </c>
      <c r="T460" s="7">
        <v>-96</v>
      </c>
      <c r="U460">
        <f t="shared" si="15"/>
        <v>216</v>
      </c>
      <c r="V460" s="15">
        <v>0.70799999999999996</v>
      </c>
      <c r="W460" s="15">
        <v>0.60499999999999998</v>
      </c>
      <c r="BB460" s="20" t="str">
        <f>HYPERLINK("https://view.gem360.in/gem360/0905220553-HN39-127/gem360-0905220553-HN39-127.html","https://view.gem360.in/gem360/0905220553-HN39-127/gem360-0905220553-HN39-127.html")</f>
        <v>https://view.gem360.in/gem360/0905220553-HN39-127/gem360-0905220553-HN39-127.html</v>
      </c>
    </row>
    <row r="461" spans="1:54" ht="16" x14ac:dyDescent="0.2">
      <c r="A461" s="4" t="s">
        <v>521</v>
      </c>
      <c r="B461" s="7" t="s">
        <v>536</v>
      </c>
      <c r="C461" s="4" t="s">
        <v>563</v>
      </c>
      <c r="D461" s="8">
        <v>0.9</v>
      </c>
      <c r="E461" s="9" t="s">
        <v>536</v>
      </c>
      <c r="F461" s="4" t="s">
        <v>544</v>
      </c>
      <c r="G461" s="4" t="s">
        <v>539</v>
      </c>
      <c r="H461" s="4" t="s">
        <v>540</v>
      </c>
      <c r="I461" s="4" t="s">
        <v>540</v>
      </c>
      <c r="J461" s="4" t="s">
        <v>541</v>
      </c>
      <c r="L461" s="4" t="s">
        <v>1025</v>
      </c>
      <c r="O461" s="4" t="s">
        <v>1040</v>
      </c>
      <c r="P461" s="4">
        <v>497181934</v>
      </c>
      <c r="R461" s="4">
        <v>5200</v>
      </c>
      <c r="S461">
        <f t="shared" si="14"/>
        <v>4680</v>
      </c>
      <c r="T461" s="7">
        <v>-96</v>
      </c>
      <c r="U461">
        <f t="shared" si="15"/>
        <v>187.20000000000002</v>
      </c>
      <c r="V461" s="15">
        <v>0.69199999999999995</v>
      </c>
      <c r="W461" s="4">
        <v>64</v>
      </c>
      <c r="BB461" s="20" t="str">
        <f>HYPERLINK("https://view.gem360.in/gem360/3011210436-HN100-38/gem360-3011210436-HN100-38.html","https://view.gem360.in/gem360/3011210436-HN100-38/gem360-3011210436-HN100-38.html")</f>
        <v>https://view.gem360.in/gem360/3011210436-HN100-38/gem360-3011210436-HN100-38.html</v>
      </c>
    </row>
    <row r="462" spans="1:54" ht="16" x14ac:dyDescent="0.2">
      <c r="A462" s="4" t="s">
        <v>522</v>
      </c>
      <c r="B462" s="7" t="s">
        <v>536</v>
      </c>
      <c r="C462" s="4" t="s">
        <v>563</v>
      </c>
      <c r="D462" s="8">
        <v>0.9</v>
      </c>
      <c r="E462" s="9" t="s">
        <v>536</v>
      </c>
      <c r="F462" s="4" t="s">
        <v>544</v>
      </c>
      <c r="G462" s="4" t="s">
        <v>539</v>
      </c>
      <c r="H462" s="4" t="s">
        <v>540</v>
      </c>
      <c r="I462" s="4" t="s">
        <v>551</v>
      </c>
      <c r="J462" s="4" t="s">
        <v>541</v>
      </c>
      <c r="L462" s="4" t="s">
        <v>1026</v>
      </c>
      <c r="O462" s="4" t="s">
        <v>1040</v>
      </c>
      <c r="P462" s="4">
        <v>526286010</v>
      </c>
      <c r="R462" s="4">
        <v>5200</v>
      </c>
      <c r="S462">
        <f t="shared" si="14"/>
        <v>4680</v>
      </c>
      <c r="T462" s="7">
        <v>-96</v>
      </c>
      <c r="U462">
        <f t="shared" si="15"/>
        <v>187.20000000000002</v>
      </c>
      <c r="V462" s="15">
        <v>0.61599999999999999</v>
      </c>
      <c r="W462" s="4">
        <v>67</v>
      </c>
      <c r="BB462" s="20" t="str">
        <f>HYPERLINK("https://view.gem360.in/gem360/2005220816-HN40-111/gem360-2005220816-HN40-111.html","https://view.gem360.in/gem360/2005220816-HN40-111/gem360-2005220816-HN40-111.html")</f>
        <v>https://view.gem360.in/gem360/2005220816-HN40-111/gem360-2005220816-HN40-111.html</v>
      </c>
    </row>
    <row r="463" spans="1:54" ht="16" x14ac:dyDescent="0.2">
      <c r="A463" s="4" t="s">
        <v>523</v>
      </c>
      <c r="B463" s="7" t="s">
        <v>536</v>
      </c>
      <c r="C463" s="4" t="s">
        <v>563</v>
      </c>
      <c r="D463" s="8">
        <v>0.9</v>
      </c>
      <c r="E463" s="9" t="s">
        <v>536</v>
      </c>
      <c r="F463" s="4" t="s">
        <v>544</v>
      </c>
      <c r="G463" s="4" t="s">
        <v>539</v>
      </c>
      <c r="H463" s="4" t="s">
        <v>551</v>
      </c>
      <c r="I463" s="4" t="s">
        <v>551</v>
      </c>
      <c r="J463" s="4" t="s">
        <v>541</v>
      </c>
      <c r="L463" s="4" t="s">
        <v>1027</v>
      </c>
      <c r="O463" s="4" t="s">
        <v>1040</v>
      </c>
      <c r="P463" s="4">
        <v>524211529</v>
      </c>
      <c r="R463" s="4">
        <v>5200</v>
      </c>
      <c r="S463">
        <f t="shared" si="14"/>
        <v>4680</v>
      </c>
      <c r="T463" s="7">
        <v>-96</v>
      </c>
      <c r="U463">
        <f t="shared" si="15"/>
        <v>187.20000000000002</v>
      </c>
      <c r="V463" s="15">
        <v>0.64600000000000002</v>
      </c>
      <c r="W463" s="4">
        <v>64</v>
      </c>
      <c r="BB463" s="20" t="str">
        <f>HYPERLINK("https://view.gem360.in/gem360/0905220548-HN43-34/gem360-0905220548-HN43-34.html","https://view.gem360.in/gem360/0905220548-HN43-34/gem360-0905220548-HN43-34.html")</f>
        <v>https://view.gem360.in/gem360/0905220548-HN43-34/gem360-0905220548-HN43-34.html</v>
      </c>
    </row>
    <row r="464" spans="1:54" ht="16" x14ac:dyDescent="0.2">
      <c r="A464" s="4" t="s">
        <v>524</v>
      </c>
      <c r="B464" s="7" t="s">
        <v>536</v>
      </c>
      <c r="C464" s="4" t="s">
        <v>563</v>
      </c>
      <c r="D464" s="8">
        <v>0.9</v>
      </c>
      <c r="E464" s="9" t="s">
        <v>536</v>
      </c>
      <c r="F464" s="4" t="s">
        <v>549</v>
      </c>
      <c r="G464" s="4" t="s">
        <v>539</v>
      </c>
      <c r="H464" s="4" t="s">
        <v>540</v>
      </c>
      <c r="I464" s="4" t="s">
        <v>540</v>
      </c>
      <c r="J464" s="4" t="s">
        <v>541</v>
      </c>
      <c r="L464" s="4" t="s">
        <v>1028</v>
      </c>
      <c r="O464" s="4" t="s">
        <v>1040</v>
      </c>
      <c r="P464" s="4">
        <v>496107007</v>
      </c>
      <c r="R464" s="4">
        <v>4100</v>
      </c>
      <c r="S464">
        <f t="shared" si="14"/>
        <v>3690</v>
      </c>
      <c r="T464" s="7">
        <v>-96</v>
      </c>
      <c r="U464">
        <f t="shared" si="15"/>
        <v>147.6</v>
      </c>
      <c r="V464" s="15">
        <v>0.628</v>
      </c>
      <c r="W464" s="15">
        <v>0.69499999999999995</v>
      </c>
      <c r="BB464" s="20" t="str">
        <f>HYPERLINK("https://view.gem360.in/gem360/2710210636-HN-77-54/gem360-2710210636-HN-77-54.html","https://view.gem360.in/gem360/2710210636-HN-77-54/gem360-2710210636-HN-77-54.html")</f>
        <v>https://view.gem360.in/gem360/2710210636-HN-77-54/gem360-2710210636-HN-77-54.html</v>
      </c>
    </row>
    <row r="465" spans="1:54" ht="16" x14ac:dyDescent="0.2">
      <c r="A465" s="4" t="s">
        <v>525</v>
      </c>
      <c r="B465" s="7" t="s">
        <v>536</v>
      </c>
      <c r="C465" s="4" t="s">
        <v>563</v>
      </c>
      <c r="D465" s="8">
        <v>0.9</v>
      </c>
      <c r="E465" s="9" t="s">
        <v>542</v>
      </c>
      <c r="F465" s="4" t="s">
        <v>549</v>
      </c>
      <c r="G465" s="4" t="s">
        <v>539</v>
      </c>
      <c r="H465" s="4" t="s">
        <v>540</v>
      </c>
      <c r="I465" s="4" t="s">
        <v>540</v>
      </c>
      <c r="J465" s="4" t="s">
        <v>541</v>
      </c>
      <c r="L465" s="4" t="s">
        <v>1029</v>
      </c>
      <c r="O465" s="4" t="s">
        <v>1040</v>
      </c>
      <c r="P465" s="4">
        <v>524248594</v>
      </c>
      <c r="R465" s="4">
        <v>3800</v>
      </c>
      <c r="S465">
        <f t="shared" si="14"/>
        <v>3420</v>
      </c>
      <c r="T465" s="7">
        <v>-96</v>
      </c>
      <c r="U465">
        <f t="shared" si="15"/>
        <v>136.80000000000001</v>
      </c>
      <c r="V465" s="4">
        <v>59</v>
      </c>
      <c r="W465" s="15">
        <v>0.71499999999999997</v>
      </c>
      <c r="BB465" s="20" t="str">
        <f>HYPERLINK("https://view.gem360.in/gem360/1105220611-HN43-173/gem360-1105220611-HN43-173.html","https://view.gem360.in/gem360/1105220611-HN43-173/gem360-1105220611-HN43-173.html")</f>
        <v>https://view.gem360.in/gem360/1105220611-HN43-173/gem360-1105220611-HN43-173.html</v>
      </c>
    </row>
    <row r="466" spans="1:54" ht="16" x14ac:dyDescent="0.2">
      <c r="A466" s="4" t="s">
        <v>526</v>
      </c>
      <c r="B466" s="7" t="s">
        <v>536</v>
      </c>
      <c r="C466" s="4" t="s">
        <v>563</v>
      </c>
      <c r="D466" s="8">
        <v>0.86</v>
      </c>
      <c r="E466" s="9" t="s">
        <v>548</v>
      </c>
      <c r="F466" s="4" t="s">
        <v>538</v>
      </c>
      <c r="G466" s="4" t="s">
        <v>539</v>
      </c>
      <c r="H466" s="4" t="s">
        <v>551</v>
      </c>
      <c r="I466" s="4" t="s">
        <v>540</v>
      </c>
      <c r="J466" s="4" t="s">
        <v>541</v>
      </c>
      <c r="L466" s="4" t="s">
        <v>1030</v>
      </c>
      <c r="O466" s="4" t="s">
        <v>1040</v>
      </c>
      <c r="P466" s="4">
        <v>529266444</v>
      </c>
      <c r="R466" s="4">
        <v>4200</v>
      </c>
      <c r="S466">
        <f t="shared" si="14"/>
        <v>3612</v>
      </c>
      <c r="T466" s="7">
        <v>-96</v>
      </c>
      <c r="U466">
        <f t="shared" si="15"/>
        <v>144.47999999999999</v>
      </c>
      <c r="V466" s="15">
        <v>0.69899999999999995</v>
      </c>
      <c r="W466" s="4">
        <v>64</v>
      </c>
      <c r="BB466" s="20" t="str">
        <f>HYPERLINK("https://view.gem360.in/gem360/0304230824-HN44-125/gem360-0304230824-HN44-125.html","https://view.gem360.in/gem360/0304230824-HN44-125/gem360-0304230824-HN44-125.html")</f>
        <v>https://view.gem360.in/gem360/0304230824-HN44-125/gem360-0304230824-HN44-125.html</v>
      </c>
    </row>
    <row r="467" spans="1:54" ht="16" x14ac:dyDescent="0.2">
      <c r="A467" s="4" t="s">
        <v>527</v>
      </c>
      <c r="B467" s="7" t="s">
        <v>536</v>
      </c>
      <c r="C467" s="4" t="s">
        <v>563</v>
      </c>
      <c r="D467" s="8">
        <v>0.84</v>
      </c>
      <c r="E467" s="9" t="s">
        <v>536</v>
      </c>
      <c r="F467" s="4" t="s">
        <v>538</v>
      </c>
      <c r="G467" s="4" t="s">
        <v>539</v>
      </c>
      <c r="H467" s="4" t="s">
        <v>540</v>
      </c>
      <c r="I467" s="4" t="s">
        <v>540</v>
      </c>
      <c r="J467" s="4" t="s">
        <v>541</v>
      </c>
      <c r="L467" s="4" t="s">
        <v>1031</v>
      </c>
      <c r="O467" s="4" t="s">
        <v>1040</v>
      </c>
      <c r="P467" s="4">
        <v>547265173</v>
      </c>
      <c r="R467" s="4">
        <v>3700</v>
      </c>
      <c r="S467">
        <f t="shared" si="14"/>
        <v>3108</v>
      </c>
      <c r="T467" s="7">
        <v>-96</v>
      </c>
      <c r="U467">
        <f t="shared" si="15"/>
        <v>124.32</v>
      </c>
      <c r="V467" s="4">
        <v>67</v>
      </c>
      <c r="W467" s="4">
        <v>56</v>
      </c>
      <c r="BB467" s="20" t="str">
        <f>HYPERLINK("https://view.gem360.in/gem360/0304230839-HN-4/gem360-0304230839-HN-4.html","https://view.gem360.in/gem360/0304230839-HN-4/gem360-0304230839-HN-4.html")</f>
        <v>https://view.gem360.in/gem360/0304230839-HN-4/gem360-0304230839-HN-4.html</v>
      </c>
    </row>
    <row r="468" spans="1:54" ht="16" x14ac:dyDescent="0.2">
      <c r="A468" s="4" t="s">
        <v>528</v>
      </c>
      <c r="B468" s="7" t="s">
        <v>536</v>
      </c>
      <c r="C468" s="4" t="s">
        <v>563</v>
      </c>
      <c r="D468" s="8">
        <v>0.84</v>
      </c>
      <c r="E468" s="9" t="s">
        <v>555</v>
      </c>
      <c r="F468" s="4" t="s">
        <v>549</v>
      </c>
      <c r="G468" s="4" t="s">
        <v>539</v>
      </c>
      <c r="H468" s="4" t="s">
        <v>551</v>
      </c>
      <c r="I468" s="4" t="s">
        <v>551</v>
      </c>
      <c r="J468" s="4" t="s">
        <v>541</v>
      </c>
      <c r="L468" s="4" t="s">
        <v>1032</v>
      </c>
      <c r="O468" s="4" t="s">
        <v>1040</v>
      </c>
      <c r="P468" s="4">
        <v>497182212</v>
      </c>
      <c r="R468" s="4">
        <v>2500</v>
      </c>
      <c r="S468">
        <f t="shared" si="14"/>
        <v>2100</v>
      </c>
      <c r="T468" s="7">
        <v>-96</v>
      </c>
      <c r="U468">
        <f t="shared" si="15"/>
        <v>84</v>
      </c>
      <c r="V468" s="15">
        <v>0.67700000000000005</v>
      </c>
      <c r="W468" s="15">
        <v>0.61499999999999999</v>
      </c>
      <c r="BB468" s="20" t="str">
        <f>HYPERLINK("","")</f>
        <v/>
      </c>
    </row>
    <row r="469" spans="1:54" ht="16" x14ac:dyDescent="0.2">
      <c r="A469" s="4" t="s">
        <v>529</v>
      </c>
      <c r="B469" s="7" t="s">
        <v>536</v>
      </c>
      <c r="C469" s="4" t="s">
        <v>563</v>
      </c>
      <c r="D469" s="8">
        <v>0.83</v>
      </c>
      <c r="E469" s="9" t="s">
        <v>546</v>
      </c>
      <c r="F469" s="4" t="s">
        <v>549</v>
      </c>
      <c r="G469" s="4" t="s">
        <v>539</v>
      </c>
      <c r="H469" s="4" t="s">
        <v>540</v>
      </c>
      <c r="I469" s="4" t="s">
        <v>540</v>
      </c>
      <c r="J469" s="4" t="s">
        <v>541</v>
      </c>
      <c r="L469" s="4" t="s">
        <v>1033</v>
      </c>
      <c r="O469" s="4" t="s">
        <v>1040</v>
      </c>
      <c r="P469" s="4">
        <v>529266448</v>
      </c>
      <c r="R469" s="4">
        <v>3300</v>
      </c>
      <c r="S469">
        <f t="shared" si="14"/>
        <v>2739</v>
      </c>
      <c r="T469" s="7">
        <v>-96</v>
      </c>
      <c r="U469">
        <f t="shared" si="15"/>
        <v>109.55999999999999</v>
      </c>
      <c r="V469" s="15">
        <v>0.61099999999999999</v>
      </c>
      <c r="W469" s="4">
        <v>63</v>
      </c>
      <c r="BB469" s="20" t="str">
        <f>HYPERLINK("https://view.gem360.in/gem360/0304230843-HN44-37/gem360-0304230843-HN44-37.html","https://view.gem360.in/gem360/0304230843-HN44-37/gem360-0304230843-HN44-37.html")</f>
        <v>https://view.gem360.in/gem360/0304230843-HN44-37/gem360-0304230843-HN44-37.html</v>
      </c>
    </row>
    <row r="470" spans="1:54" ht="16" x14ac:dyDescent="0.2">
      <c r="A470" s="4" t="s">
        <v>530</v>
      </c>
      <c r="B470" s="7" t="s">
        <v>536</v>
      </c>
      <c r="C470" s="4" t="s">
        <v>563</v>
      </c>
      <c r="D470" s="8">
        <v>0.82</v>
      </c>
      <c r="E470" s="9" t="s">
        <v>542</v>
      </c>
      <c r="F470" s="4" t="s">
        <v>538</v>
      </c>
      <c r="G470" s="4" t="s">
        <v>539</v>
      </c>
      <c r="H470" s="4" t="s">
        <v>551</v>
      </c>
      <c r="I470" s="4" t="s">
        <v>551</v>
      </c>
      <c r="J470" s="4" t="s">
        <v>541</v>
      </c>
      <c r="L470" s="4" t="s">
        <v>1034</v>
      </c>
      <c r="O470" s="4" t="s">
        <v>1040</v>
      </c>
      <c r="P470" s="4">
        <v>497182213</v>
      </c>
      <c r="R470" s="4">
        <v>3400</v>
      </c>
      <c r="S470">
        <f t="shared" si="14"/>
        <v>2788</v>
      </c>
      <c r="T470" s="7">
        <v>-96</v>
      </c>
      <c r="U470">
        <f t="shared" si="15"/>
        <v>111.52</v>
      </c>
      <c r="V470" s="15">
        <v>0.63700000000000001</v>
      </c>
      <c r="W470" s="4">
        <v>74</v>
      </c>
      <c r="BB470" s="20" t="str">
        <f>HYPERLINK("","")</f>
        <v/>
      </c>
    </row>
    <row r="471" spans="1:54" ht="16" x14ac:dyDescent="0.2">
      <c r="A471" s="4" t="s">
        <v>531</v>
      </c>
      <c r="B471" s="7" t="s">
        <v>536</v>
      </c>
      <c r="C471" s="4" t="s">
        <v>563</v>
      </c>
      <c r="D471" s="8">
        <v>0.8</v>
      </c>
      <c r="E471" s="9" t="s">
        <v>548</v>
      </c>
      <c r="F471" s="4" t="s">
        <v>538</v>
      </c>
      <c r="G471" s="4" t="s">
        <v>539</v>
      </c>
      <c r="H471" s="4" t="s">
        <v>540</v>
      </c>
      <c r="I471" s="4" t="s">
        <v>540</v>
      </c>
      <c r="J471" s="4" t="s">
        <v>541</v>
      </c>
      <c r="L471" s="4" t="s">
        <v>1035</v>
      </c>
      <c r="O471" s="4" t="s">
        <v>1040</v>
      </c>
      <c r="P471" s="4">
        <v>547265174</v>
      </c>
      <c r="R471" s="4">
        <v>4200</v>
      </c>
      <c r="S471">
        <f t="shared" si="14"/>
        <v>3360</v>
      </c>
      <c r="T471" s="7">
        <v>-96</v>
      </c>
      <c r="U471">
        <f t="shared" si="15"/>
        <v>134.4</v>
      </c>
      <c r="V471" s="15">
        <v>0.629</v>
      </c>
      <c r="W471" s="15">
        <v>0.64500000000000002</v>
      </c>
      <c r="BB471" s="20" t="str">
        <f>HYPERLINK("https://view.gem360.in/gem360/0304230847-HN-81-166/gem360-0304230847-HN-81-166.html","https://view.gem360.in/gem360/0304230847-HN-81-166/gem360-0304230847-HN-81-166.html")</f>
        <v>https://view.gem360.in/gem360/0304230847-HN-81-166/gem360-0304230847-HN-81-166.html</v>
      </c>
    </row>
    <row r="472" spans="1:54" ht="16" x14ac:dyDescent="0.2">
      <c r="A472" s="4" t="s">
        <v>532</v>
      </c>
      <c r="B472" s="7" t="s">
        <v>536</v>
      </c>
      <c r="C472" s="4" t="s">
        <v>564</v>
      </c>
      <c r="D472" s="8">
        <v>1</v>
      </c>
      <c r="E472" s="9" t="s">
        <v>536</v>
      </c>
      <c r="F472" s="4" t="s">
        <v>549</v>
      </c>
      <c r="G472" s="4" t="s">
        <v>539</v>
      </c>
      <c r="H472" s="4" t="s">
        <v>540</v>
      </c>
      <c r="I472" s="4" t="s">
        <v>540</v>
      </c>
      <c r="J472" s="4" t="s">
        <v>541</v>
      </c>
      <c r="L472" s="4" t="s">
        <v>1036</v>
      </c>
      <c r="O472" s="4" t="s">
        <v>1040</v>
      </c>
      <c r="P472" s="4">
        <v>464180803</v>
      </c>
      <c r="R472" s="4">
        <v>5000</v>
      </c>
      <c r="S472">
        <f t="shared" si="14"/>
        <v>5000</v>
      </c>
      <c r="T472" s="7">
        <v>-96</v>
      </c>
      <c r="U472">
        <f t="shared" si="15"/>
        <v>200</v>
      </c>
      <c r="V472" s="15">
        <v>0.70799999999999996</v>
      </c>
      <c r="W472" s="15">
        <v>0.73499999999999999</v>
      </c>
      <c r="BB472" s="20" t="str">
        <f>HYPERLINK("http://view.gem360.in/gem360/0605210621-HN-33-2/gem360-0605210621-HN-33-2.html","http://view.gem360.in/gem360/0605210621-HN-33-2/gem360-0605210621-HN-33-2.html")</f>
        <v>http://view.gem360.in/gem360/0605210621-HN-33-2/gem360-0605210621-HN-33-2.html</v>
      </c>
    </row>
    <row r="473" spans="1:54" ht="16" x14ac:dyDescent="0.2">
      <c r="A473" s="4" t="s">
        <v>533</v>
      </c>
      <c r="B473" s="7" t="s">
        <v>536</v>
      </c>
      <c r="C473" s="4" t="s">
        <v>565</v>
      </c>
      <c r="D473" s="8">
        <v>2</v>
      </c>
      <c r="E473" s="9" t="s">
        <v>542</v>
      </c>
      <c r="F473" s="4" t="s">
        <v>553</v>
      </c>
      <c r="G473" s="4" t="s">
        <v>539</v>
      </c>
      <c r="H473" s="4" t="s">
        <v>551</v>
      </c>
      <c r="I473" s="4" t="s">
        <v>551</v>
      </c>
      <c r="J473" s="4" t="s">
        <v>541</v>
      </c>
      <c r="L473" s="4" t="s">
        <v>1037</v>
      </c>
      <c r="O473" s="4" t="s">
        <v>1040</v>
      </c>
      <c r="P473" s="4">
        <v>464109428</v>
      </c>
      <c r="R473" s="4">
        <v>9200</v>
      </c>
      <c r="S473">
        <f t="shared" si="14"/>
        <v>18400</v>
      </c>
      <c r="T473" s="7">
        <v>-96</v>
      </c>
      <c r="U473">
        <f t="shared" si="15"/>
        <v>736</v>
      </c>
      <c r="V473" s="15">
        <v>0.67900000000000005</v>
      </c>
      <c r="W473" s="15">
        <v>0.64500000000000002</v>
      </c>
      <c r="BB473" s="20" t="str">
        <f>HYPERLINK("http://view.gem360.in/gem360/0605210602-HN-33-25/gem360-0605210602-HN-33-25.html","http://view.gem360.in/gem360/0605210602-HN-33-25/gem360-0605210602-HN-33-25.html")</f>
        <v>http://view.gem360.in/gem360/0605210602-HN-33-25/gem360-0605210602-HN-33-25.html</v>
      </c>
    </row>
    <row r="474" spans="1:54" ht="16" x14ac:dyDescent="0.2">
      <c r="A474" s="4" t="s">
        <v>534</v>
      </c>
      <c r="B474" s="7" t="s">
        <v>536</v>
      </c>
      <c r="C474" s="4" t="s">
        <v>565</v>
      </c>
      <c r="D474" s="8">
        <v>1.22</v>
      </c>
      <c r="E474" s="9" t="s">
        <v>542</v>
      </c>
      <c r="F474" s="4" t="s">
        <v>544</v>
      </c>
      <c r="G474" s="4" t="s">
        <v>539</v>
      </c>
      <c r="H474" s="4" t="s">
        <v>540</v>
      </c>
      <c r="I474" s="4" t="s">
        <v>540</v>
      </c>
      <c r="J474" s="4" t="s">
        <v>541</v>
      </c>
      <c r="L474" s="4" t="s">
        <v>1038</v>
      </c>
      <c r="O474" s="4" t="s">
        <v>1040</v>
      </c>
      <c r="P474" s="4">
        <v>464180802</v>
      </c>
      <c r="R474" s="4">
        <v>6000</v>
      </c>
      <c r="S474">
        <f t="shared" si="14"/>
        <v>7320</v>
      </c>
      <c r="T474" s="7">
        <v>-96</v>
      </c>
      <c r="U474">
        <f t="shared" si="15"/>
        <v>292.8</v>
      </c>
      <c r="V474" s="15">
        <v>0.61899999999999999</v>
      </c>
      <c r="W474" s="15">
        <v>0.59499999999999997</v>
      </c>
      <c r="BB474" s="20" t="str">
        <f>HYPERLINK("https://view.gem360.in/gem360/0304230854-HN-20/gem360-0304230854-HN-20.html","https://view.gem360.in/gem360/0304230854-HN-20/gem360-0304230854-HN-20.html")</f>
        <v>https://view.gem360.in/gem360/0304230854-HN-20/gem360-0304230854-HN-20.html</v>
      </c>
    </row>
    <row r="475" spans="1:54" ht="17" thickBot="1" x14ac:dyDescent="0.25">
      <c r="A475" s="6" t="s">
        <v>535</v>
      </c>
      <c r="B475" s="7" t="s">
        <v>536</v>
      </c>
      <c r="C475" s="6" t="s">
        <v>565</v>
      </c>
      <c r="D475" s="13">
        <v>1</v>
      </c>
      <c r="E475" s="14" t="s">
        <v>548</v>
      </c>
      <c r="F475" s="6" t="s">
        <v>544</v>
      </c>
      <c r="G475" s="6" t="s">
        <v>539</v>
      </c>
      <c r="H475" s="6" t="s">
        <v>540</v>
      </c>
      <c r="I475" s="6" t="s">
        <v>551</v>
      </c>
      <c r="J475" s="6" t="s">
        <v>541</v>
      </c>
      <c r="L475" s="6" t="s">
        <v>1039</v>
      </c>
      <c r="O475" s="6" t="s">
        <v>1040</v>
      </c>
      <c r="P475" s="6">
        <v>584379528</v>
      </c>
      <c r="R475" s="6">
        <v>8000</v>
      </c>
      <c r="S475">
        <f t="shared" si="14"/>
        <v>8000</v>
      </c>
      <c r="T475" s="7">
        <v>-96</v>
      </c>
      <c r="U475">
        <f t="shared" si="15"/>
        <v>320</v>
      </c>
      <c r="V475" s="19">
        <v>0.7</v>
      </c>
      <c r="W475" s="19">
        <v>0.62</v>
      </c>
      <c r="BB475" s="21" t="str">
        <f>HYPERLINK("https://view.gem360.in/gem360/0706230537-HN-740/gem360-0706230537-HN-740.html","https://view.gem360.in/gem360/0706230537-HN-740/gem360-0706230537-HN-740.html")</f>
        <v>https://view.gem360.in/gem360/0706230537-HN-740/gem360-0706230537-HN-740.html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INSTANCE-31</dc:creator>
  <cp:lastModifiedBy>Microsoft Office User</cp:lastModifiedBy>
  <dcterms:created xsi:type="dcterms:W3CDTF">2023-03-17T12:51:00Z</dcterms:created>
  <dcterms:modified xsi:type="dcterms:W3CDTF">2023-08-10T22:27:07Z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CC6EEAAA27824ACFAA7AC07D13D0B65B</vt:lpwstr>
  </property>
  <property fmtid="{D5CDD505-2E9C-101B-9397-08002B2CF9AE}" pid="3" name="KSOProductBuildVer">
    <vt:lpwstr>1033-11.2.0.11513</vt:lpwstr>
  </property>
</Properties>
</file>